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75" windowWidth="11010" windowHeight="9840" tabRatio="891" firstSheet="8" activeTab="21"/>
  </bookViews>
  <sheets>
    <sheet name="ул.Ленинская 1" sheetId="1" r:id="rId1"/>
    <sheet name="ул.Ленинская 3" sheetId="2" r:id="rId2"/>
    <sheet name="ул.Ленинская 7" sheetId="3" r:id="rId3"/>
    <sheet name="ул.Советская 2" sheetId="4" r:id="rId4"/>
    <sheet name="ул.Советская 4" sheetId="5" r:id="rId5"/>
    <sheet name="ул.Советская 6" sheetId="6" r:id="rId6"/>
    <sheet name="ул.Советская 10" sheetId="7" r:id="rId7"/>
    <sheet name="КВ1.Д3" sheetId="8" r:id="rId8"/>
    <sheet name="КВ1.Д4" sheetId="9" r:id="rId9"/>
    <sheet name="КВ1.Д5" sheetId="10" r:id="rId10"/>
    <sheet name="КВ1.Д7" sheetId="11" r:id="rId11"/>
    <sheet name="почта муз кв1д7" sheetId="12" r:id="rId12"/>
    <sheet name="КВ1.Д9" sheetId="13" r:id="rId13"/>
    <sheet name="КВ1.Д20" sheetId="14" r:id="rId14"/>
    <sheet name="КВ2.Д2" sheetId="15" r:id="rId15"/>
    <sheet name="КВ2.Д3" sheetId="16" r:id="rId16"/>
    <sheet name="КВ3.Д1" sheetId="17" r:id="rId17"/>
    <sheet name="КВ4.Д8" sheetId="18" r:id="rId18"/>
    <sheet name="КВ4.Д9" sheetId="19" r:id="rId19"/>
    <sheet name="КВ5.Д1" sheetId="20" r:id="rId20"/>
    <sheet name="КВ5.Д2" sheetId="21" r:id="rId21"/>
    <sheet name="Октяб. Первомайская" sheetId="22" r:id="rId22"/>
    <sheet name="Свод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Затраты__тыс.руб.____2012_год">'КВ1.Д3'!$E$9:$E$20</definedName>
    <definedName name="_xlnm.Print_Area" localSheetId="13">'КВ1.Д20'!$A$2:$G$41</definedName>
    <definedName name="_xlnm.Print_Area" localSheetId="7">'КВ1.Д3'!$A$2:$G$46</definedName>
    <definedName name="_xlnm.Print_Area" localSheetId="8">'КВ1.Д4'!$A$2:$H$45</definedName>
    <definedName name="_xlnm.Print_Area" localSheetId="9">'КВ1.Д5'!$A$5:$H$53</definedName>
    <definedName name="_xlnm.Print_Area" localSheetId="10">'КВ1.Д7'!$A$1:$K$50</definedName>
    <definedName name="_xlnm.Print_Area" localSheetId="12">'КВ1.Д9'!$A$2:$F$43</definedName>
    <definedName name="_xlnm.Print_Area" localSheetId="14">'КВ2.Д2'!$A$5:$H$61</definedName>
    <definedName name="_xlnm.Print_Area" localSheetId="15">'КВ2.Д3'!$A$6:$H$60</definedName>
    <definedName name="_xlnm.Print_Area" localSheetId="16">'КВ3.Д1'!$A$2:$G$49</definedName>
    <definedName name="_xlnm.Print_Area" localSheetId="17">'КВ4.Д8'!$A$2:$G$45</definedName>
    <definedName name="_xlnm.Print_Area" localSheetId="18">'КВ4.Д9'!$A$2:$G$52</definedName>
    <definedName name="_xlnm.Print_Area" localSheetId="19">'КВ5.Д1'!$A$5:$G$46</definedName>
    <definedName name="_xlnm.Print_Area" localSheetId="20">'КВ5.Д2'!$A$5:$G$45</definedName>
    <definedName name="_xlnm.Print_Area" localSheetId="21">'Октяб. Первомайская'!$A$2:$G$41</definedName>
    <definedName name="_xlnm.Print_Area" localSheetId="22">'Свод'!$A$1:$H$40</definedName>
    <definedName name="_xlnm.Print_Area" localSheetId="0">'ул.Ленинская 1'!$A$1:$H$40</definedName>
    <definedName name="_xlnm.Print_Area" localSheetId="1">'ул.Ленинская 3'!$A$1:$H$40</definedName>
    <definedName name="_xlnm.Print_Area" localSheetId="2">'ул.Ленинская 7'!$A$2:$H$39</definedName>
    <definedName name="_xlnm.Print_Area" localSheetId="6">'ул.Советская 10'!$A$2:$H$40</definedName>
    <definedName name="_xlnm.Print_Area" localSheetId="3">'ул.Советская 2'!$A$3:$H$40</definedName>
    <definedName name="_xlnm.Print_Area" localSheetId="4">'ул.Советская 4'!$A$3:$H$40</definedName>
    <definedName name="_xlnm.Print_Area" localSheetId="5">'ул.Советская 6'!$A$4:$H$40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9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122тыс в августе матер</t>
        </r>
      </text>
    </comment>
  </commentList>
</comments>
</file>

<file path=xl/comments4.xml><?xml version="1.0" encoding="utf-8"?>
<comments xmlns="http://schemas.openxmlformats.org/spreadsheetml/2006/main">
  <authors>
    <author>1</author>
  </authors>
  <commentList>
    <comment ref="C19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95тыс. В ноябре
</t>
        </r>
      </text>
    </comment>
  </commentList>
</comments>
</file>

<file path=xl/sharedStrings.xml><?xml version="1.0" encoding="utf-8"?>
<sst xmlns="http://schemas.openxmlformats.org/spreadsheetml/2006/main" count="1077" uniqueCount="206">
  <si>
    <t>№ п/п</t>
  </si>
  <si>
    <t>Статья затрат</t>
  </si>
  <si>
    <t>Расходы</t>
  </si>
  <si>
    <t xml:space="preserve">Отчет </t>
  </si>
  <si>
    <t>материалы</t>
  </si>
  <si>
    <t>вывоз мусора</t>
  </si>
  <si>
    <t xml:space="preserve">цеховые </t>
  </si>
  <si>
    <t>общеэксплуатационные</t>
  </si>
  <si>
    <t>Панченко.О.Г</t>
  </si>
  <si>
    <t>Зам. директора  по финансам и экономики</t>
  </si>
  <si>
    <t>Панченко.А.А</t>
  </si>
  <si>
    <t>Исполнитель:</t>
  </si>
  <si>
    <t>Начисленные доходы ( без НДС )</t>
  </si>
  <si>
    <t>Фактически полученные доходы (без НДС )</t>
  </si>
  <si>
    <t>4.1</t>
  </si>
  <si>
    <t>4.2</t>
  </si>
  <si>
    <t>4.3</t>
  </si>
  <si>
    <t>4.4</t>
  </si>
  <si>
    <t>4.5</t>
  </si>
  <si>
    <t>зарплата, налоги</t>
  </si>
  <si>
    <t>4.6</t>
  </si>
  <si>
    <t>Долматова Е.В.</t>
  </si>
  <si>
    <t>Директор филиала "Михайловский"                                                               КГУП "Примтеплоэнерго"</t>
  </si>
  <si>
    <t xml:space="preserve">об исполнении договорных обязательств </t>
  </si>
  <si>
    <t>прочие</t>
  </si>
  <si>
    <t>Затраты, тыс.руб.        2009 год</t>
  </si>
  <si>
    <t>Затраты, тыс.руб.    2010 год</t>
  </si>
  <si>
    <t>Затраты, тыс.руб. с 05.2008 год</t>
  </si>
  <si>
    <t>Затраты, тыс.руб. 2008 год</t>
  </si>
  <si>
    <t>Затраты, тыс.руб. с 09.2008 год</t>
  </si>
  <si>
    <t>Затраты, тыс.руб. с 05. 2009 год</t>
  </si>
  <si>
    <t>Затраты, тыс.руб. с 06. 2009 год</t>
  </si>
  <si>
    <t>Затраты, тыс.руб. с 11. 2009 год</t>
  </si>
  <si>
    <t>Затраты, тыс.руб.c 09.2010 год</t>
  </si>
  <si>
    <t>Затраты, тыс.руб.c 07.2010 год</t>
  </si>
  <si>
    <t>Затраты, тыс.руб.c 08.2010 год</t>
  </si>
  <si>
    <t>Затраты, тыс.руб.c 06.2010 год</t>
  </si>
  <si>
    <t>СВОД</t>
  </si>
  <si>
    <t>Дебиторская задолженность на 31.09.11г      ( с НДС )</t>
  </si>
  <si>
    <t xml:space="preserve">Затраты, тыс.руб.    2011 год </t>
  </si>
  <si>
    <t>Затраты, тыс.руб.    2011 год</t>
  </si>
  <si>
    <t>в т.ч. Списание дебиторской задолженности</t>
  </si>
  <si>
    <t>Дебиторская задолженность на 31.12.11г      ( с НДС )</t>
  </si>
  <si>
    <t xml:space="preserve">по адресу:  ул.Ленинская д.1  с 05.2008г по  12.2011г </t>
  </si>
  <si>
    <t xml:space="preserve">по адресу:  ул.Ленинская д.3  с 05.2008г по  12.2011г </t>
  </si>
  <si>
    <t xml:space="preserve">по адресу:  ул.Ленинская д.7  с 05.2008г по  12.2011г </t>
  </si>
  <si>
    <t xml:space="preserve">по адресу:  ул.Советская д.2  с 05.2008г по  12.2011г </t>
  </si>
  <si>
    <t xml:space="preserve">по адресу:  ул.Советская д.4  с 05.2008г по  12.2011г </t>
  </si>
  <si>
    <t xml:space="preserve">по адресу:  ул.Советская д.6  с 05.2008г по  12.2011г </t>
  </si>
  <si>
    <t xml:space="preserve">по адресу:  ул.Советская д.10  с 05.2008г по  12.2011г </t>
  </si>
  <si>
    <t xml:space="preserve">Директор филиала "Михайловский"                                                               КГУП "Примтеплоэнерго"                                </t>
  </si>
  <si>
    <t xml:space="preserve">Зам. директора  по финансам и экономики    </t>
  </si>
  <si>
    <t xml:space="preserve">Затраты, тыс.руб.    2012 год </t>
  </si>
  <si>
    <t>материалы  в т.ч.</t>
  </si>
  <si>
    <t>Замена канализационного стояка в подвале</t>
  </si>
  <si>
    <t>март</t>
  </si>
  <si>
    <t>Замена труб ХВС</t>
  </si>
  <si>
    <t>Замена канализационных труб</t>
  </si>
  <si>
    <t>Частичная замена труб отопления</t>
  </si>
  <si>
    <t>Смена светильников</t>
  </si>
  <si>
    <t xml:space="preserve">Февраль 2012 года </t>
  </si>
  <si>
    <t>Замена стояка отопления L3м</t>
  </si>
  <si>
    <t>Установка дверей в 4-ом и во 2-ом п-де</t>
  </si>
  <si>
    <t>Перечень выполненных работ по текущему ремонту за 2012 год:</t>
  </si>
  <si>
    <t>ИТОГО</t>
  </si>
  <si>
    <t>месяц</t>
  </si>
  <si>
    <t>Наименование работ</t>
  </si>
  <si>
    <t>Сумма</t>
  </si>
  <si>
    <t xml:space="preserve">Март 2012 года </t>
  </si>
  <si>
    <t xml:space="preserve">Частичная замена стояка отопления </t>
  </si>
  <si>
    <t xml:space="preserve">Замена стояка отопления </t>
  </si>
  <si>
    <t>Установка доводчика</t>
  </si>
  <si>
    <t>Ревизия запорной арматуры</t>
  </si>
  <si>
    <t>Частичная замена канализации</t>
  </si>
  <si>
    <t>Частичная замена стояков отопления</t>
  </si>
  <si>
    <t>Замена труб отопления в подвале. Замена арматуры</t>
  </si>
  <si>
    <t>Проведение освещения в подвале</t>
  </si>
  <si>
    <t>Установка металических дверей</t>
  </si>
  <si>
    <t>Замена  стояков отопления с заменой запорной арматуры</t>
  </si>
  <si>
    <t>ремонт кровли</t>
  </si>
  <si>
    <t xml:space="preserve">Замена  стояков отопления </t>
  </si>
  <si>
    <t>Замена  стояков ХВС</t>
  </si>
  <si>
    <t>Замена  стояков ХВС на полиэтилен</t>
  </si>
  <si>
    <t>Вреска бросников в подвале</t>
  </si>
  <si>
    <t>Установка запорной арматуры в подвале</t>
  </si>
  <si>
    <t>Замена лежака отопления в подвале на метопол</t>
  </si>
  <si>
    <t>4.7</t>
  </si>
  <si>
    <t>Минимальная балансовая прибыль 15%</t>
  </si>
  <si>
    <t>ВСЕГО</t>
  </si>
  <si>
    <t xml:space="preserve">март 2012 года </t>
  </si>
  <si>
    <t>(2-50-40)</t>
  </si>
  <si>
    <t>1-ое полугодие</t>
  </si>
  <si>
    <t>Дебиторская задолженность на 31.06.12г      ( с НДС )</t>
  </si>
  <si>
    <t xml:space="preserve">ВСЕГО, тыс.руб.    2012 год </t>
  </si>
  <si>
    <t>кв.1 дом 7       Почта</t>
  </si>
  <si>
    <t>ВДО</t>
  </si>
  <si>
    <t>начислено</t>
  </si>
  <si>
    <t>оплачено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</si>
  <si>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</si>
  <si>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</si>
  <si>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</si>
  <si>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</si>
  <si>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</si>
  <si>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</si>
  <si>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</si>
  <si>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</si>
  <si>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итого:</t>
  </si>
  <si>
    <t>кв.1 дом 7       Музей</t>
  </si>
  <si>
    <t>Всего:</t>
  </si>
  <si>
    <t xml:space="preserve">Май 2012 года </t>
  </si>
  <si>
    <t>Ремонт крылец</t>
  </si>
  <si>
    <t>Ремонт козырьков</t>
  </si>
  <si>
    <t>запенивание щелей</t>
  </si>
  <si>
    <t>Ремонт канализационных стояков</t>
  </si>
  <si>
    <t>октябрь 2012г.</t>
  </si>
  <si>
    <t>апрель</t>
  </si>
  <si>
    <t>май</t>
  </si>
  <si>
    <t>Частичная замена стояка канализации</t>
  </si>
  <si>
    <t>Апрель 2012 года</t>
  </si>
  <si>
    <t>Замена канализационного стояка</t>
  </si>
  <si>
    <t>Сварочные работы вподвале</t>
  </si>
  <si>
    <t>Ревизия радиатора в квартире</t>
  </si>
  <si>
    <t>Прокладка освещения в подвале</t>
  </si>
  <si>
    <t xml:space="preserve">Ремонт откосов дверей </t>
  </si>
  <si>
    <t>Замена участка теплосети в подвале</t>
  </si>
  <si>
    <t>Смена фасонных частей</t>
  </si>
  <si>
    <t>Замена стояков отопления</t>
  </si>
  <si>
    <t>Май 2012 года</t>
  </si>
  <si>
    <t xml:space="preserve">Ревизия радиатора </t>
  </si>
  <si>
    <t>Май</t>
  </si>
  <si>
    <t>Ремонт кровли</t>
  </si>
  <si>
    <t>Электромантажные работы</t>
  </si>
  <si>
    <t>Июнь</t>
  </si>
  <si>
    <t>Побелка деревьев</t>
  </si>
  <si>
    <t>Июль</t>
  </si>
  <si>
    <t>Заливка опор придомовых сооружений</t>
  </si>
  <si>
    <t>Ремонт бордюр</t>
  </si>
  <si>
    <t>Покраска</t>
  </si>
  <si>
    <t>Гидроизоляция</t>
  </si>
  <si>
    <t xml:space="preserve"> </t>
  </si>
  <si>
    <t>Замена стояка отопления</t>
  </si>
  <si>
    <t>Окрас и ремонт придомовых сооружений</t>
  </si>
  <si>
    <t>Побелка 4-го подъезда</t>
  </si>
  <si>
    <t>Ремонт канализации</t>
  </si>
  <si>
    <t>Двери</t>
  </si>
  <si>
    <t>Октябрь 2012 год</t>
  </si>
  <si>
    <t>Июнь 2012 год</t>
  </si>
  <si>
    <t>Замена труб отопления</t>
  </si>
  <si>
    <t>Попов С.М.</t>
  </si>
  <si>
    <t>Дебиторская задолженность на 31.10.12г      ( с НДС )</t>
  </si>
  <si>
    <t>Почта 2012 год</t>
  </si>
  <si>
    <t>Музей 2012 год</t>
  </si>
  <si>
    <t>РОВД 2012 год</t>
  </si>
  <si>
    <t>задолженность</t>
  </si>
  <si>
    <t>ИТОГО жил фонд</t>
  </si>
  <si>
    <t>ИТОГО Юр. Лица</t>
  </si>
  <si>
    <t>____________________________________</t>
  </si>
  <si>
    <t>Октябрь</t>
  </si>
  <si>
    <t xml:space="preserve">Замена стояков отопления </t>
  </si>
  <si>
    <t>гидроизоляция стыков между панелями</t>
  </si>
  <si>
    <t>изоляция участка теплосяти</t>
  </si>
  <si>
    <t>Сентябрь</t>
  </si>
  <si>
    <t>Ремонт канализационных труб</t>
  </si>
  <si>
    <t>Итого</t>
  </si>
  <si>
    <t>Аварийные работы</t>
  </si>
  <si>
    <t>6 мес.</t>
  </si>
  <si>
    <t xml:space="preserve">по адресу:  кв.1 д.4  с 05.2008г по  31.06.2012г </t>
  </si>
  <si>
    <t>Установка баллорекса</t>
  </si>
  <si>
    <t>Ремонт окнных проемов</t>
  </si>
  <si>
    <t>Ремонт козырька 4-го подъезда</t>
  </si>
  <si>
    <t>Ремонт электричества</t>
  </si>
  <si>
    <t>Доводчик</t>
  </si>
  <si>
    <t>Август</t>
  </si>
  <si>
    <t>Установка балорекса</t>
  </si>
  <si>
    <t xml:space="preserve">по адресу:  кв.3 д.1  с 06.2009г по 31.06.2012г </t>
  </si>
  <si>
    <t>Дебиторская задолженность на 31.10.12г       ( с НДС )</t>
  </si>
  <si>
    <t>Сентябрь 2012г</t>
  </si>
  <si>
    <t>Замена стояка ХВС</t>
  </si>
  <si>
    <t xml:space="preserve">Замена стояка канализации </t>
  </si>
  <si>
    <t>Изоляция теплосети в подвале дома</t>
  </si>
  <si>
    <t>9 мес.</t>
  </si>
  <si>
    <t xml:space="preserve">по адресу:  кв.1 д.5  с 01.2008г по  31.09.2012г </t>
  </si>
  <si>
    <t xml:space="preserve">по адресу:  кв.1 д.9  с 07.2010г по  31.06.2012г </t>
  </si>
  <si>
    <t xml:space="preserve">по адресу:  кв.1 д.20  с 08.2010г по  31.06.2012г </t>
  </si>
  <si>
    <t>6 мес мес.</t>
  </si>
  <si>
    <t>Ремонт подъездов</t>
  </si>
  <si>
    <t>Попов С.М</t>
  </si>
  <si>
    <t>Ремонт подъезда</t>
  </si>
  <si>
    <t>Изоляция теплосети в подвале</t>
  </si>
  <si>
    <t>ноябрь 2012г.</t>
  </si>
  <si>
    <t>кв.1 дом 7  МРУИ ГУФСИН</t>
  </si>
  <si>
    <t>в ноябре 2012г.(за 4 мес.)</t>
  </si>
  <si>
    <t>12 мес.</t>
  </si>
  <si>
    <t>Начисленные доходы ( без НДС ) по 31.12.12г.</t>
  </si>
  <si>
    <t>Дебиторская задолженность на 31.12.12г      ( с НДС )</t>
  </si>
  <si>
    <t xml:space="preserve">по адресу:  кв.5 д.1  с  11.2009г по  31.12.2012г </t>
  </si>
  <si>
    <t xml:space="preserve">по адресу:  кв.5 д.2  с  11.2009г по  31.12.2012г </t>
  </si>
  <si>
    <t>Копылова Т.В.</t>
  </si>
  <si>
    <t xml:space="preserve">по адресу:  кв.4 д.9  с 05.2009г по  31.12.2012г </t>
  </si>
  <si>
    <t>Фактически полученные доходы (без НДС ) по 31.12.12.</t>
  </si>
  <si>
    <t xml:space="preserve">по адресу: ул. Первомайская 4 а  с 06.2010г по 31.12.2012г </t>
  </si>
  <si>
    <t xml:space="preserve">по адресу:  кв.1 д.3  с 07.2010г по  31.12.2012г </t>
  </si>
  <si>
    <t xml:space="preserve">по адресу:  кв.1 д.7  с 09.2010г по  31.12.2012г </t>
  </si>
  <si>
    <t xml:space="preserve">по адресу:  кв.2 д.2  с 09.2008г по  31.12.2012г </t>
  </si>
  <si>
    <t xml:space="preserve">по адресу:  квартал 2 дом 3  с 09.2008г по  31.12.2012г </t>
  </si>
  <si>
    <t xml:space="preserve">по адресу:  кв.4 д.8  с 09.2010г по  31.12.2012г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</si>
</sst>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17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8" xfId="0" applyBorder="1" applyAlignment="1">
      <alignment/>
    </xf>
    <xf numFmtId="173" fontId="4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172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3" fontId="4" fillId="0" borderId="13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/>
    </xf>
    <xf numFmtId="173" fontId="4" fillId="0" borderId="13" xfId="0" applyNumberFormat="1" applyFont="1" applyFill="1" applyBorder="1" applyAlignment="1">
      <alignment/>
    </xf>
    <xf numFmtId="172" fontId="4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4" xfId="0" applyNumberFormat="1" applyBorder="1" applyAlignment="1">
      <alignment/>
    </xf>
    <xf numFmtId="0" fontId="0" fillId="0" borderId="20" xfId="0" applyFill="1" applyBorder="1" applyAlignment="1">
      <alignment wrapText="1"/>
    </xf>
    <xf numFmtId="172" fontId="4" fillId="0" borderId="13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43" fontId="4" fillId="0" borderId="13" xfId="61" applyFont="1" applyBorder="1" applyAlignment="1">
      <alignment/>
    </xf>
    <xf numFmtId="0" fontId="4" fillId="0" borderId="0" xfId="0" applyFont="1" applyBorder="1" applyAlignment="1">
      <alignment horizontal="left" wrapText="1"/>
    </xf>
    <xf numFmtId="17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4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9" fillId="0" borderId="1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49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21" xfId="0" applyFont="1" applyBorder="1" applyAlignment="1">
      <alignment/>
    </xf>
    <xf numFmtId="172" fontId="4" fillId="0" borderId="14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172" fontId="0" fillId="0" borderId="23" xfId="0" applyNumberFormat="1" applyBorder="1" applyAlignment="1">
      <alignment/>
    </xf>
    <xf numFmtId="172" fontId="4" fillId="0" borderId="24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25" xfId="0" applyNumberFormat="1" applyBorder="1" applyAlignment="1">
      <alignment/>
    </xf>
    <xf numFmtId="0" fontId="51" fillId="0" borderId="0" xfId="0" applyFont="1" applyAlignment="1">
      <alignment/>
    </xf>
    <xf numFmtId="0" fontId="0" fillId="0" borderId="26" xfId="0" applyBorder="1" applyAlignment="1">
      <alignment horizontal="left"/>
    </xf>
    <xf numFmtId="0" fontId="49" fillId="0" borderId="0" xfId="0" applyFont="1" applyAlignment="1">
      <alignment horizontal="right"/>
    </xf>
    <xf numFmtId="0" fontId="49" fillId="0" borderId="22" xfId="0" applyFont="1" applyBorder="1" applyAlignment="1">
      <alignment horizontal="center" vertical="center"/>
    </xf>
    <xf numFmtId="172" fontId="4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Border="1" applyAlignment="1">
      <alignment wrapText="1"/>
    </xf>
    <xf numFmtId="49" fontId="0" fillId="0" borderId="29" xfId="0" applyNumberFormat="1" applyBorder="1" applyAlignment="1">
      <alignment horizontal="right"/>
    </xf>
    <xf numFmtId="172" fontId="4" fillId="0" borderId="3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31" xfId="0" applyFont="1" applyBorder="1" applyAlignment="1">
      <alignment/>
    </xf>
    <xf numFmtId="0" fontId="53" fillId="0" borderId="32" xfId="0" applyFont="1" applyBorder="1" applyAlignment="1">
      <alignment/>
    </xf>
    <xf numFmtId="0" fontId="0" fillId="0" borderId="33" xfId="0" applyBorder="1" applyAlignment="1">
      <alignment/>
    </xf>
    <xf numFmtId="0" fontId="52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52" fillId="0" borderId="34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28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36" xfId="0" applyFont="1" applyBorder="1" applyAlignment="1">
      <alignment/>
    </xf>
    <xf numFmtId="0" fontId="0" fillId="0" borderId="32" xfId="0" applyBorder="1" applyAlignment="1">
      <alignment/>
    </xf>
    <xf numFmtId="0" fontId="52" fillId="0" borderId="3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8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39" xfId="0" applyFont="1" applyBorder="1" applyAlignment="1">
      <alignment/>
    </xf>
    <xf numFmtId="0" fontId="52" fillId="0" borderId="40" xfId="0" applyFont="1" applyBorder="1" applyAlignment="1">
      <alignment/>
    </xf>
    <xf numFmtId="171" fontId="4" fillId="0" borderId="10" xfId="0" applyNumberFormat="1" applyFont="1" applyBorder="1" applyAlignment="1">
      <alignment/>
    </xf>
    <xf numFmtId="171" fontId="4" fillId="0" borderId="19" xfId="0" applyNumberFormat="1" applyFont="1" applyBorder="1" applyAlignment="1">
      <alignment/>
    </xf>
    <xf numFmtId="171" fontId="0" fillId="0" borderId="0" xfId="0" applyNumberFormat="1" applyAlignment="1">
      <alignment/>
    </xf>
    <xf numFmtId="172" fontId="49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4" fillId="0" borderId="11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209550</xdr:rowOff>
    </xdr:from>
    <xdr:to>
      <xdr:col>6</xdr:col>
      <xdr:colOff>9525</xdr:colOff>
      <xdr:row>29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429375"/>
          <a:ext cx="3305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files/download/&#1042;&#1044;&#1054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Documents%20and%20Settings\user\&#1052;&#1086;&#1080;%20&#1076;&#1086;&#1082;&#1091;&#1084;&#1077;&#1085;&#1090;&#1099;\2008\&#1042;&#1044;&#1054;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Documents%20and%20Settings\user\&#1052;&#1086;&#1080;%20&#1076;&#1086;&#1082;&#1091;&#1084;&#1077;&#1085;&#1090;&#1099;\2010&#1075;\&#1042;&#1044;&#1054;%202010\&#1042;&#1044;&#1054;%202009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Documents%20and%20Settings\user\&#1052;&#1086;&#1080;%20&#1076;&#1086;&#1082;&#1091;&#1084;&#1077;&#1085;&#1090;&#1099;\2010&#1075;\&#1042;&#1044;&#1054;%202010\&#1042;&#1044;&#1054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files/download/&#1042;&#1044;&#1054;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Documents%20and%20Settings\user\&#1052;&#1086;&#1080;%20&#1076;&#1086;&#1082;&#1091;&#1084;&#1077;&#1085;&#1090;&#1099;\2011&#1075;\&#1042;&#1044;&#1054;%202011\&#1042;&#1044;&#1054;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Documents%20and%20Settings\dolmatovaev\&#1052;&#1086;&#1080;%20&#1076;&#1086;&#1082;&#1091;&#1084;&#1077;&#1085;&#1090;&#1099;\2011&#1075;\&#1042;&#1044;&#1054;%202011\&#1042;&#1044;&#1054;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files/download/&#1042;&#1044;&#1054;%20&#1057;&#1041;&#1067;&#1058;%20&#1053;&#1072;&#1095;&#1080;&#1089;%20&#1086;&#1087;&#1083;\4%20(&#1040;&#1074;&#1090;&#1086;&#1089;&#1086;&#1093;&#1088;&#1072;&#1085;&#1077;&#1085;&#1085;&#1099;&#108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mtep.ru/files/download/&#1042;&#1044;&#1054;%20&#1057;&#1041;&#1067;&#1058;%20&#1053;&#1072;&#1095;&#1080;&#1089;%20&#1086;&#1087;&#1083;\5.&#1085;&#1072;&#1095;&#1080;&#1089;&#1083;&#1077;&#1085;&#1080;&#1077;,&#1086;&#1087;&#1083;&#1072;&#1090;&#1072;%20&#1087;&#1086;%20&#1074;&#1085;&#1091;&#1090;&#1088;&#1080;&#1076;&#1086;&#1084;&#1086;&#1074;&#1086;&#1084;&#1091;&#1054;&#1082;&#1090;&#1103;&#1073;&#1088;&#1100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Дет.дом.Новош."/>
      <sheetName val="Свод  ВДО (Михайл.район)"/>
      <sheetName val="Октяб.рн Первомайс 4а"/>
      <sheetName val="Покр.Школа Интер."/>
      <sheetName val="Свод Октябрьский"/>
      <sheetName val="Хороль ВДО"/>
      <sheetName val="Свод  ВДО (Филиал)"/>
      <sheetName val="9 мес"/>
      <sheetName val="12 мес "/>
    </sheetNames>
    <sheetDataSet>
      <sheetData sheetId="1">
        <row r="45">
          <cell r="AT45">
            <v>28.757007</v>
          </cell>
        </row>
        <row r="54">
          <cell r="AT54">
            <v>102.28463156634047</v>
          </cell>
        </row>
        <row r="58">
          <cell r="AT58">
            <v>34.98511578090886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27.77038353650255</v>
          </cell>
        </row>
        <row r="83">
          <cell r="AT83">
            <v>4.511785525768422</v>
          </cell>
        </row>
        <row r="123">
          <cell r="AT123">
            <v>16.200388201638464</v>
          </cell>
        </row>
      </sheetData>
      <sheetData sheetId="2">
        <row r="45">
          <cell r="AT45">
            <v>25.326257</v>
          </cell>
        </row>
        <row r="54">
          <cell r="AT54">
            <v>134.24266422574001</v>
          </cell>
        </row>
        <row r="58">
          <cell r="AT58">
            <v>46.062543794536474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59.3085147</v>
          </cell>
        </row>
        <row r="83">
          <cell r="AT83">
            <v>4.352612343267602</v>
          </cell>
        </row>
        <row r="123">
          <cell r="AT123">
            <v>20.896000953389077</v>
          </cell>
        </row>
      </sheetData>
      <sheetData sheetId="3">
        <row r="45">
          <cell r="AT45">
            <v>75.27229700000001</v>
          </cell>
        </row>
        <row r="54">
          <cell r="AT54">
            <v>158.6742785254959</v>
          </cell>
        </row>
        <row r="58">
          <cell r="AT58">
            <v>54.277145289084174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58.97203562484473</v>
          </cell>
        </row>
        <row r="83">
          <cell r="AT83">
            <v>2.8330966103427935</v>
          </cell>
        </row>
        <row r="123">
          <cell r="AT123">
            <v>26.8375566277547</v>
          </cell>
        </row>
      </sheetData>
      <sheetData sheetId="4">
        <row r="45">
          <cell r="AT45">
            <v>10.200277</v>
          </cell>
        </row>
        <row r="54">
          <cell r="AT54">
            <v>108.50677404443135</v>
          </cell>
        </row>
        <row r="58">
          <cell r="AT58">
            <v>37.260716368515396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16.004539341614905</v>
          </cell>
        </row>
        <row r="83">
          <cell r="AT83">
            <v>6.304151292257249</v>
          </cell>
        </row>
        <row r="123">
          <cell r="AT123">
            <v>15.135140619216227</v>
          </cell>
        </row>
      </sheetData>
      <sheetData sheetId="5">
        <row r="45">
          <cell r="AT45">
            <v>57.432897</v>
          </cell>
        </row>
        <row r="54">
          <cell r="AT54">
            <v>102.1828897276981</v>
          </cell>
        </row>
        <row r="58">
          <cell r="AT58">
            <v>34.9661298587929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44.00791178268251</v>
          </cell>
        </row>
        <row r="83">
          <cell r="AT83">
            <v>1.6896342970234643</v>
          </cell>
        </row>
        <row r="123">
          <cell r="AT123">
            <v>24.84682031032966</v>
          </cell>
        </row>
      </sheetData>
      <sheetData sheetId="6">
        <row r="45">
          <cell r="AT45">
            <v>32.749777</v>
          </cell>
        </row>
        <row r="54">
          <cell r="AT54">
            <v>115.14477115508865</v>
          </cell>
        </row>
        <row r="58">
          <cell r="AT58">
            <v>39.430980075059665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64.68698025483872</v>
          </cell>
        </row>
        <row r="83">
          <cell r="AT83">
            <v>4.190383965901169</v>
          </cell>
        </row>
        <row r="123">
          <cell r="AT123">
            <v>20.99561178295102</v>
          </cell>
        </row>
      </sheetData>
      <sheetData sheetId="7">
        <row r="45">
          <cell r="AT45">
            <v>54.219847</v>
          </cell>
        </row>
        <row r="54">
          <cell r="AT54">
            <v>140.44458286614878</v>
          </cell>
        </row>
        <row r="58">
          <cell r="AT58">
            <v>48.481545105926486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3.8488405</v>
          </cell>
        </row>
        <row r="81">
          <cell r="AT81">
            <v>101.61474969049236</v>
          </cell>
        </row>
        <row r="83">
          <cell r="AT83">
            <v>3.960388555659364</v>
          </cell>
        </row>
        <row r="123">
          <cell r="AT123">
            <v>25.126880583061094</v>
          </cell>
        </row>
      </sheetData>
      <sheetData sheetId="8">
        <row r="45">
          <cell r="AT45">
            <v>60.140287</v>
          </cell>
        </row>
        <row r="54">
          <cell r="AT54">
            <v>165.19632495782596</v>
          </cell>
        </row>
        <row r="58">
          <cell r="AT58">
            <v>56.57525392872483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65.95766800000001</v>
          </cell>
        </row>
        <row r="83">
          <cell r="AT83">
            <v>5.318046000163386</v>
          </cell>
        </row>
        <row r="123">
          <cell r="AT123">
            <v>26.405815769371955</v>
          </cell>
        </row>
      </sheetData>
      <sheetData sheetId="9">
        <row r="45">
          <cell r="AT45">
            <v>49.048287</v>
          </cell>
        </row>
        <row r="54">
          <cell r="AT54">
            <v>110.34739364523207</v>
          </cell>
        </row>
        <row r="58">
          <cell r="AT58">
            <v>37.5586521628923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21.9421494447205</v>
          </cell>
        </row>
        <row r="83">
          <cell r="AT83">
            <v>4.7391583727232005</v>
          </cell>
        </row>
        <row r="123">
          <cell r="AT123">
            <v>24.17369010262317</v>
          </cell>
        </row>
      </sheetData>
      <sheetData sheetId="10">
        <row r="45">
          <cell r="AT45">
            <v>55.098116999999995</v>
          </cell>
        </row>
        <row r="54">
          <cell r="AT54">
            <v>169.2290477668535</v>
          </cell>
        </row>
        <row r="58">
          <cell r="AT58">
            <v>57.89429345206272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65.03837430000002</v>
          </cell>
        </row>
        <row r="83">
          <cell r="AT83">
            <v>6.689612294358996</v>
          </cell>
        </row>
        <row r="123">
          <cell r="AT123">
            <v>29.430471749772224</v>
          </cell>
        </row>
      </sheetData>
      <sheetData sheetId="11">
        <row r="45">
          <cell r="AT45">
            <v>37.279486999999996</v>
          </cell>
        </row>
        <row r="54">
          <cell r="AT54">
            <v>90.61684982020341</v>
          </cell>
        </row>
        <row r="58">
          <cell r="AT58">
            <v>31.053794230762577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16.035228670807456</v>
          </cell>
        </row>
        <row r="83">
          <cell r="AT83">
            <v>1.5486518887622562</v>
          </cell>
        </row>
        <row r="123">
          <cell r="AT123">
            <v>14.437481237797716</v>
          </cell>
        </row>
      </sheetData>
      <sheetData sheetId="12">
        <row r="45">
          <cell r="AT45">
            <v>32.739407</v>
          </cell>
        </row>
        <row r="54">
          <cell r="AT54">
            <v>73.2788547539669</v>
          </cell>
        </row>
        <row r="58">
          <cell r="AT58">
            <v>25.12495134535925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15.953905444720498</v>
          </cell>
        </row>
        <row r="83">
          <cell r="AT83">
            <v>3.116598293597799</v>
          </cell>
        </row>
        <row r="123">
          <cell r="AT123">
            <v>12.066855372214754</v>
          </cell>
        </row>
      </sheetData>
      <sheetData sheetId="22">
        <row r="45">
          <cell r="AT45">
            <v>109.24595000000001</v>
          </cell>
        </row>
        <row r="54">
          <cell r="AT54">
            <v>362.428888</v>
          </cell>
        </row>
        <row r="58">
          <cell r="AT58">
            <v>126.13599097061999</v>
          </cell>
        </row>
        <row r="68">
          <cell r="AT68">
            <v>0.002</v>
          </cell>
        </row>
        <row r="73">
          <cell r="AT73">
            <v>0.002</v>
          </cell>
        </row>
        <row r="75">
          <cell r="AT75">
            <v>0.031</v>
          </cell>
        </row>
        <row r="81">
          <cell r="AT81">
            <v>93.82838</v>
          </cell>
        </row>
        <row r="83">
          <cell r="AT83">
            <v>2.7806599999999992</v>
          </cell>
        </row>
        <row r="123">
          <cell r="AT123">
            <v>71.07134700805994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.1д5"/>
      <sheetName val="кв1.д4"/>
      <sheetName val="кв2.д2"/>
      <sheetName val="кв2.д3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кот№18"/>
      <sheetName val="кот№19"/>
      <sheetName val="кот№20"/>
      <sheetName val="9 месяц."/>
      <sheetName val="год"/>
      <sheetName val="год (2)"/>
      <sheetName val="Свод кот"/>
    </sheetNames>
    <sheetDataSet>
      <sheetData sheetId="0">
        <row r="44">
          <cell r="AT44">
            <v>60.32418</v>
          </cell>
        </row>
        <row r="51">
          <cell r="AT51">
            <v>140.008926</v>
          </cell>
        </row>
        <row r="55">
          <cell r="AT55">
            <v>34.1295670906</v>
          </cell>
        </row>
        <row r="83">
          <cell r="AT83">
            <v>42.326190000000004</v>
          </cell>
        </row>
        <row r="84">
          <cell r="AT84">
            <v>10.151</v>
          </cell>
        </row>
        <row r="124">
          <cell r="AT124">
            <v>29.32520736328</v>
          </cell>
        </row>
      </sheetData>
      <sheetData sheetId="1">
        <row r="44">
          <cell r="AT44">
            <v>144.40281000000002</v>
          </cell>
        </row>
        <row r="51">
          <cell r="AT51">
            <v>71.72716919999999</v>
          </cell>
        </row>
        <row r="55">
          <cell r="AT55">
            <v>17.73695127852</v>
          </cell>
        </row>
        <row r="83">
          <cell r="AT83">
            <v>28.37785</v>
          </cell>
        </row>
        <row r="84">
          <cell r="AT84">
            <v>2.92</v>
          </cell>
        </row>
        <row r="124">
          <cell r="AT124">
            <v>17.635829586176</v>
          </cell>
        </row>
      </sheetData>
      <sheetData sheetId="2">
        <row r="51">
          <cell r="AT51">
            <v>28.6339592</v>
          </cell>
        </row>
        <row r="55">
          <cell r="AT55">
            <v>7.05147679852</v>
          </cell>
        </row>
        <row r="83">
          <cell r="AT83">
            <v>12.39385</v>
          </cell>
        </row>
        <row r="84">
          <cell r="AT84">
            <v>0</v>
          </cell>
        </row>
        <row r="124">
          <cell r="AT124">
            <v>5.184648666176001</v>
          </cell>
        </row>
      </sheetData>
      <sheetData sheetId="3">
        <row r="44">
          <cell r="AT44">
            <v>13.21581</v>
          </cell>
        </row>
        <row r="51">
          <cell r="AT51">
            <v>23.280339199999997</v>
          </cell>
        </row>
        <row r="55">
          <cell r="AT55">
            <v>5.73647679852</v>
          </cell>
        </row>
        <row r="83">
          <cell r="AT83">
            <v>12.46785</v>
          </cell>
        </row>
        <row r="124">
          <cell r="AT124">
            <v>4.2121286661760005</v>
          </cell>
        </row>
      </sheetData>
      <sheetData sheetId="4">
        <row r="44">
          <cell r="AT44">
            <v>172.52951</v>
          </cell>
        </row>
        <row r="51">
          <cell r="AT51">
            <v>70.9280654</v>
          </cell>
        </row>
        <row r="55">
          <cell r="AT55">
            <v>17.25748124874</v>
          </cell>
        </row>
        <row r="83">
          <cell r="AT83">
            <v>40.5899</v>
          </cell>
        </row>
        <row r="84">
          <cell r="AT84">
            <v>-0.44124000000000113</v>
          </cell>
        </row>
        <row r="124">
          <cell r="AT124">
            <v>16.582543517312</v>
          </cell>
        </row>
      </sheetData>
      <sheetData sheetId="5">
        <row r="44">
          <cell r="AT44">
            <v>35.456269999999996</v>
          </cell>
        </row>
        <row r="51">
          <cell r="AT51">
            <v>49.780696400000004</v>
          </cell>
        </row>
        <row r="55">
          <cell r="AT55">
            <v>12.18032536584</v>
          </cell>
        </row>
        <row r="67">
          <cell r="AT67">
            <v>30.3909</v>
          </cell>
        </row>
        <row r="84">
          <cell r="AT84">
            <v>0.17676000000000008</v>
          </cell>
        </row>
        <row r="124">
          <cell r="AT124">
            <v>10.649835857792</v>
          </cell>
        </row>
      </sheetData>
      <sheetData sheetId="6">
        <row r="44">
          <cell r="AT44">
            <v>89.70436</v>
          </cell>
        </row>
        <row r="51">
          <cell r="AT51">
            <v>69.48430820000002</v>
          </cell>
        </row>
        <row r="55">
          <cell r="AT55">
            <v>16.91536234542</v>
          </cell>
        </row>
        <row r="83">
          <cell r="AT83">
            <v>32.365899999999996</v>
          </cell>
        </row>
        <row r="84">
          <cell r="AT84">
            <v>47.979760000000006</v>
          </cell>
        </row>
        <row r="124">
          <cell r="AT124">
            <v>14.730258586896</v>
          </cell>
        </row>
      </sheetData>
      <sheetData sheetId="7">
        <row r="44">
          <cell r="AT44">
            <v>141.68501</v>
          </cell>
        </row>
        <row r="51">
          <cell r="AT51">
            <v>54.138311</v>
          </cell>
        </row>
        <row r="55">
          <cell r="AT55">
            <v>13.158825758099999</v>
          </cell>
        </row>
        <row r="83">
          <cell r="AT83">
            <v>29.875899999999998</v>
          </cell>
        </row>
        <row r="84">
          <cell r="AT84">
            <v>1.0926199999999997</v>
          </cell>
        </row>
        <row r="124">
          <cell r="AT124">
            <v>11.50653122528</v>
          </cell>
        </row>
      </sheetData>
      <sheetData sheetId="8">
        <row r="44">
          <cell r="AT44">
            <v>140.91835999999998</v>
          </cell>
        </row>
        <row r="51">
          <cell r="AT51">
            <v>55.156514400000006</v>
          </cell>
        </row>
        <row r="55">
          <cell r="AT55">
            <v>13.45490459364</v>
          </cell>
        </row>
        <row r="83">
          <cell r="AT83">
            <v>30.294900000000002</v>
          </cell>
        </row>
        <row r="84">
          <cell r="AT84">
            <v>3.7566</v>
          </cell>
        </row>
        <row r="124">
          <cell r="AT124">
            <v>11.994859006432002</v>
          </cell>
        </row>
      </sheetData>
      <sheetData sheetId="9">
        <row r="44">
          <cell r="AT44">
            <v>119.89448</v>
          </cell>
        </row>
        <row r="51">
          <cell r="AT51">
            <v>62.5145422</v>
          </cell>
        </row>
        <row r="55">
          <cell r="AT55">
            <v>15.20534311882</v>
          </cell>
        </row>
        <row r="83">
          <cell r="AT83">
            <v>30.918899999999997</v>
          </cell>
        </row>
        <row r="84">
          <cell r="AT84">
            <v>3.3205</v>
          </cell>
        </row>
        <row r="124">
          <cell r="AT124">
            <v>13.427363287816</v>
          </cell>
        </row>
      </sheetData>
      <sheetData sheetId="10">
        <row r="44">
          <cell r="AT44">
            <v>125.97742999999998</v>
          </cell>
        </row>
        <row r="51">
          <cell r="AT51">
            <v>53.9814088</v>
          </cell>
        </row>
        <row r="55">
          <cell r="AT55">
            <v>13.134571313279999</v>
          </cell>
        </row>
        <row r="83">
          <cell r="AT83">
            <v>28.23091</v>
          </cell>
        </row>
        <row r="84">
          <cell r="AT84">
            <v>1.698</v>
          </cell>
        </row>
        <row r="124">
          <cell r="AT124">
            <v>11.443695586663999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1.д4"/>
      <sheetName val="кв.1д5"/>
      <sheetName val="кв2.д2"/>
      <sheetName val="кв2.д3"/>
      <sheetName val="кв4.д9"/>
      <sheetName val="кв3.д1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9 месяц."/>
      <sheetName val="год"/>
      <sheetName val="Свод кот"/>
    </sheetNames>
    <sheetDataSet>
      <sheetData sheetId="0">
        <row r="44">
          <cell r="AT44">
            <v>10.1054</v>
          </cell>
        </row>
        <row r="51">
          <cell r="AT51">
            <v>84.24106</v>
          </cell>
        </row>
        <row r="55">
          <cell r="AT55">
            <v>20.4092459262</v>
          </cell>
        </row>
        <row r="83">
          <cell r="AT83">
            <v>22.67715</v>
          </cell>
        </row>
        <row r="84">
          <cell r="AT84">
            <v>18.04200161</v>
          </cell>
        </row>
        <row r="124">
          <cell r="AT124">
            <v>16.520895877</v>
          </cell>
        </row>
      </sheetData>
      <sheetData sheetId="1">
        <row r="44">
          <cell r="AT44">
            <v>10.1993</v>
          </cell>
        </row>
        <row r="51">
          <cell r="AT51">
            <v>108.65985</v>
          </cell>
        </row>
        <row r="55">
          <cell r="AT55">
            <v>26.7739107945</v>
          </cell>
        </row>
        <row r="82">
          <cell r="AT82">
            <v>2.21763</v>
          </cell>
        </row>
        <row r="83">
          <cell r="AT83">
            <v>17.80552</v>
          </cell>
        </row>
        <row r="84">
          <cell r="AT84">
            <v>57.560405440000004</v>
          </cell>
        </row>
        <row r="124">
          <cell r="AT124">
            <v>22.3281402225</v>
          </cell>
        </row>
      </sheetData>
      <sheetData sheetId="2">
        <row r="44">
          <cell r="AT44">
            <v>34.30209</v>
          </cell>
        </row>
        <row r="51">
          <cell r="AT51">
            <v>109.13289999999999</v>
          </cell>
        </row>
        <row r="55">
          <cell r="AT55">
            <v>27.232287532999997</v>
          </cell>
        </row>
        <row r="79">
          <cell r="AT79">
            <v>0.18</v>
          </cell>
        </row>
        <row r="82">
          <cell r="AT82">
            <v>2.35035</v>
          </cell>
        </row>
        <row r="83">
          <cell r="AT83">
            <v>56.46334</v>
          </cell>
        </row>
        <row r="84">
          <cell r="AT84">
            <v>23.39460359</v>
          </cell>
        </row>
        <row r="124">
          <cell r="AT124">
            <v>22.844476335</v>
          </cell>
        </row>
      </sheetData>
      <sheetData sheetId="3">
        <row r="44">
          <cell r="AT44">
            <v>51.84485</v>
          </cell>
        </row>
        <row r="51">
          <cell r="AT51">
            <v>140.87176999999997</v>
          </cell>
        </row>
        <row r="55">
          <cell r="AT55">
            <v>35.1432616029</v>
          </cell>
        </row>
        <row r="82">
          <cell r="AT82">
            <v>2.35035</v>
          </cell>
        </row>
        <row r="83">
          <cell r="AT83">
            <v>55.29545</v>
          </cell>
        </row>
        <row r="84">
          <cell r="AT84">
            <v>28.393910390000006</v>
          </cell>
        </row>
        <row r="124">
          <cell r="AT124">
            <v>29.4473294665</v>
          </cell>
        </row>
      </sheetData>
      <sheetData sheetId="4">
        <row r="44">
          <cell r="AT44">
            <v>38.71094</v>
          </cell>
        </row>
        <row r="51">
          <cell r="AT51">
            <v>62.26672</v>
          </cell>
        </row>
        <row r="55">
          <cell r="AT55">
            <v>14.840868264400001</v>
          </cell>
        </row>
        <row r="82">
          <cell r="AT82">
            <v>0.9793000000000001</v>
          </cell>
        </row>
        <row r="83">
          <cell r="AT83">
            <v>33.50255</v>
          </cell>
        </row>
        <row r="84">
          <cell r="AT84">
            <v>2.3042018399999997</v>
          </cell>
        </row>
        <row r="124">
          <cell r="AT124">
            <v>12.148732874</v>
          </cell>
        </row>
      </sheetData>
      <sheetData sheetId="5">
        <row r="44">
          <cell r="AT44">
            <v>31.31817</v>
          </cell>
        </row>
        <row r="51">
          <cell r="AT51">
            <v>43.201269999999994</v>
          </cell>
        </row>
        <row r="55">
          <cell r="AT55">
            <v>10.2582710679</v>
          </cell>
        </row>
        <row r="82">
          <cell r="AT82">
            <v>3.2634700000000003</v>
          </cell>
        </row>
        <row r="83">
          <cell r="AT83">
            <v>34.38815</v>
          </cell>
        </row>
        <row r="84">
          <cell r="AT84">
            <v>2.04573894</v>
          </cell>
        </row>
        <row r="124">
          <cell r="AT124">
            <v>8.6803711815</v>
          </cell>
        </row>
      </sheetData>
      <sheetData sheetId="6">
        <row r="44">
          <cell r="AT44">
            <v>0.6403300000000001</v>
          </cell>
        </row>
        <row r="51">
          <cell r="AT51">
            <v>2.737</v>
          </cell>
        </row>
        <row r="55">
          <cell r="AT55">
            <v>0.66114068</v>
          </cell>
        </row>
        <row r="84">
          <cell r="AT84">
            <v>0.22835672</v>
          </cell>
        </row>
        <row r="124">
          <cell r="AT124">
            <v>0.50514776</v>
          </cell>
        </row>
      </sheetData>
      <sheetData sheetId="7">
        <row r="44">
          <cell r="AT44">
            <v>9.93715</v>
          </cell>
        </row>
        <row r="51">
          <cell r="AT51">
            <v>2.737</v>
          </cell>
        </row>
        <row r="55">
          <cell r="AT55">
            <v>0.66114068</v>
          </cell>
        </row>
        <row r="84">
          <cell r="AT84">
            <v>0.22835672</v>
          </cell>
        </row>
        <row r="124">
          <cell r="AT124">
            <v>0.50514776</v>
          </cell>
        </row>
      </sheetData>
      <sheetData sheetId="8">
        <row r="44">
          <cell r="AT44">
            <v>65.21983</v>
          </cell>
        </row>
        <row r="51">
          <cell r="AT51">
            <v>145.90946</v>
          </cell>
        </row>
        <row r="55">
          <cell r="AT55">
            <v>36.2803926342</v>
          </cell>
        </row>
        <row r="59">
          <cell r="AT59">
            <v>0.468</v>
          </cell>
        </row>
        <row r="79">
          <cell r="AT79">
            <v>0.158</v>
          </cell>
        </row>
        <row r="83">
          <cell r="AT83">
            <v>70.04661999999999</v>
          </cell>
        </row>
        <row r="84">
          <cell r="AT84">
            <v>24.94373477</v>
          </cell>
        </row>
        <row r="124">
          <cell r="AT124">
            <v>29.837777127000003</v>
          </cell>
        </row>
      </sheetData>
      <sheetData sheetId="9">
        <row r="44">
          <cell r="AT44">
            <v>132.89677</v>
          </cell>
        </row>
        <row r="51">
          <cell r="AT51">
            <v>143.18349</v>
          </cell>
        </row>
        <row r="55">
          <cell r="AT55">
            <v>35.514926567299995</v>
          </cell>
        </row>
        <row r="59">
          <cell r="AT59">
            <v>0.468</v>
          </cell>
        </row>
        <row r="79">
          <cell r="AT79">
            <v>0.158</v>
          </cell>
        </row>
        <row r="83">
          <cell r="AT83">
            <v>68.75761</v>
          </cell>
        </row>
        <row r="84">
          <cell r="AT84">
            <v>14.762854479999998</v>
          </cell>
        </row>
        <row r="124">
          <cell r="AT124">
            <v>29.113597720500003</v>
          </cell>
        </row>
      </sheetData>
      <sheetData sheetId="10">
        <row r="44">
          <cell r="AT44">
            <v>39.39761000000001</v>
          </cell>
        </row>
        <row r="51">
          <cell r="AT51">
            <v>131.82837999999998</v>
          </cell>
        </row>
        <row r="55">
          <cell r="AT55">
            <v>32.8563306926</v>
          </cell>
        </row>
        <row r="59">
          <cell r="AT59">
            <v>0.468</v>
          </cell>
        </row>
        <row r="79">
          <cell r="AT79">
            <v>0.158</v>
          </cell>
        </row>
        <row r="83">
          <cell r="AT83">
            <v>56.338849999999994</v>
          </cell>
        </row>
        <row r="84">
          <cell r="AT84">
            <v>6.57032191</v>
          </cell>
        </row>
        <row r="124">
          <cell r="AT124">
            <v>26.680511910999996</v>
          </cell>
        </row>
      </sheetData>
      <sheetData sheetId="11">
        <row r="44">
          <cell r="AT44">
            <v>127.14749000000002</v>
          </cell>
        </row>
        <row r="51">
          <cell r="AT51">
            <v>140.80446</v>
          </cell>
        </row>
        <row r="55">
          <cell r="AT55">
            <v>34.928065794199995</v>
          </cell>
        </row>
        <row r="59">
          <cell r="AT59">
            <v>0.352</v>
          </cell>
        </row>
        <row r="79">
          <cell r="AT79">
            <v>0.158</v>
          </cell>
        </row>
        <row r="83">
          <cell r="AT83">
            <v>70.96495999999999</v>
          </cell>
        </row>
        <row r="84">
          <cell r="AT84">
            <v>28.142641320000003</v>
          </cell>
        </row>
        <row r="124">
          <cell r="AT124">
            <v>28.090828477</v>
          </cell>
        </row>
      </sheetData>
      <sheetData sheetId="12">
        <row r="44">
          <cell r="AT44">
            <v>110.15404999999998</v>
          </cell>
        </row>
        <row r="51">
          <cell r="AT51">
            <v>150.96749</v>
          </cell>
        </row>
        <row r="55">
          <cell r="AT55">
            <v>37.490421217299996</v>
          </cell>
        </row>
        <row r="59">
          <cell r="AT59">
            <v>0.234</v>
          </cell>
        </row>
        <row r="79">
          <cell r="AT79">
            <v>0.158</v>
          </cell>
        </row>
        <row r="83">
          <cell r="AT83">
            <v>71.50909</v>
          </cell>
        </row>
        <row r="84">
          <cell r="AT84">
            <v>30.39530167</v>
          </cell>
        </row>
        <row r="124">
          <cell r="AT124">
            <v>30.364579470499997</v>
          </cell>
        </row>
      </sheetData>
      <sheetData sheetId="13">
        <row r="44">
          <cell r="AT44">
            <v>74.56692000000001</v>
          </cell>
        </row>
        <row r="51">
          <cell r="AT51">
            <v>153.44412</v>
          </cell>
        </row>
        <row r="55">
          <cell r="AT55">
            <v>38.0695083224</v>
          </cell>
        </row>
        <row r="59">
          <cell r="AT59">
            <v>0.234</v>
          </cell>
        </row>
        <row r="79">
          <cell r="AT79">
            <v>0.158</v>
          </cell>
        </row>
        <row r="83">
          <cell r="AT83">
            <v>70.81174999999999</v>
          </cell>
        </row>
        <row r="84">
          <cell r="AT84">
            <v>23.757486189999998</v>
          </cell>
        </row>
        <row r="124">
          <cell r="AT124">
            <v>32.256055024</v>
          </cell>
        </row>
      </sheetData>
      <sheetData sheetId="14">
        <row r="44">
          <cell r="AT44">
            <v>37.844429999999996</v>
          </cell>
        </row>
        <row r="51">
          <cell r="AT51">
            <v>122.44063</v>
          </cell>
        </row>
        <row r="55">
          <cell r="AT55">
            <v>30.356883213100005</v>
          </cell>
        </row>
        <row r="59">
          <cell r="AT59">
            <v>0.235</v>
          </cell>
        </row>
        <row r="79">
          <cell r="AT79">
            <v>0.161</v>
          </cell>
        </row>
        <row r="83">
          <cell r="AT83">
            <v>49.85413</v>
          </cell>
        </row>
        <row r="84">
          <cell r="AT84">
            <v>15.216616429999998</v>
          </cell>
        </row>
        <row r="124">
          <cell r="AT124">
            <v>25.4770097435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Свод  ВДО (Михайл.район)"/>
      <sheetName val="Октяб.рн Первомайс 4а"/>
      <sheetName val="Свод  ВДО (Филиал)"/>
      <sheetName val="9 мес"/>
      <sheetName val="12 мес"/>
    </sheetNames>
    <sheetDataSet>
      <sheetData sheetId="0">
        <row r="45">
          <cell r="AT45">
            <v>21.067257122200004</v>
          </cell>
        </row>
        <row r="54">
          <cell r="AT54">
            <v>97.7735</v>
          </cell>
        </row>
        <row r="58">
          <cell r="AT58">
            <v>24.110874248408457</v>
          </cell>
        </row>
        <row r="63">
          <cell r="AT63">
            <v>0.0114775</v>
          </cell>
        </row>
        <row r="68">
          <cell r="AT68">
            <v>0.004869333333333333</v>
          </cell>
        </row>
        <row r="75">
          <cell r="AT75">
            <v>0.013914888888888897</v>
          </cell>
        </row>
        <row r="78">
          <cell r="AT78">
            <v>0.22267935555555557</v>
          </cell>
        </row>
        <row r="81">
          <cell r="AT81">
            <v>35.167879848249804</v>
          </cell>
        </row>
        <row r="83">
          <cell r="AT83">
            <v>1.0616000000000057</v>
          </cell>
        </row>
        <row r="123">
          <cell r="AT123">
            <v>17.793752661605378</v>
          </cell>
        </row>
        <row r="173">
          <cell r="AT173">
            <v>224.93559322033903</v>
          </cell>
        </row>
      </sheetData>
      <sheetData sheetId="1">
        <row r="45">
          <cell r="AT45">
            <v>21.7782171222</v>
          </cell>
        </row>
        <row r="54">
          <cell r="AT54">
            <v>164.3734</v>
          </cell>
        </row>
        <row r="58">
          <cell r="AT58">
            <v>41.59709666471536</v>
          </cell>
        </row>
        <row r="63">
          <cell r="AT63">
            <v>0.0114775</v>
          </cell>
        </row>
        <row r="68">
          <cell r="AT68">
            <v>0.2787693333333333</v>
          </cell>
        </row>
        <row r="75">
          <cell r="AT75">
            <v>0.06709988888888889</v>
          </cell>
        </row>
        <row r="78">
          <cell r="AT78">
            <v>0.2226993555555556</v>
          </cell>
        </row>
        <row r="81">
          <cell r="AT81">
            <v>25.171113732719405</v>
          </cell>
        </row>
        <row r="83">
          <cell r="AT83">
            <v>9.3545902</v>
          </cell>
        </row>
        <row r="123">
          <cell r="AT123">
            <v>27.93948085763691</v>
          </cell>
        </row>
      </sheetData>
      <sheetData sheetId="2">
        <row r="45">
          <cell r="AT45">
            <v>76.2041971222</v>
          </cell>
        </row>
        <row r="54">
          <cell r="AT54">
            <v>206.169</v>
          </cell>
        </row>
        <row r="58">
          <cell r="AT58">
            <v>52.076946146138944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0.2226993555555556</v>
          </cell>
        </row>
        <row r="81">
          <cell r="AT81">
            <v>53.380475041424205</v>
          </cell>
        </row>
        <row r="83">
          <cell r="AT83">
            <v>11.719397299999997</v>
          </cell>
        </row>
        <row r="123">
          <cell r="AT123">
            <v>34.67014622084076</v>
          </cell>
        </row>
      </sheetData>
      <sheetData sheetId="3">
        <row r="45">
          <cell r="AT45">
            <v>6.247227122200003</v>
          </cell>
        </row>
        <row r="54">
          <cell r="AT54">
            <v>33.995</v>
          </cell>
        </row>
        <row r="58">
          <cell r="AT58">
            <v>8.276523779153322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0.15199935555555558</v>
          </cell>
        </row>
        <row r="81">
          <cell r="AT81">
            <v>17.747530887174328</v>
          </cell>
        </row>
        <row r="83">
          <cell r="AT83">
            <v>0.28859999999999975</v>
          </cell>
        </row>
        <row r="123">
          <cell r="AT123">
            <v>5.465165842216273</v>
          </cell>
        </row>
      </sheetData>
      <sheetData sheetId="4">
        <row r="45">
          <cell r="AT45">
            <v>8.620837122200003</v>
          </cell>
        </row>
        <row r="54">
          <cell r="AT54">
            <v>37.8</v>
          </cell>
        </row>
        <row r="58">
          <cell r="AT58">
            <v>9.226673787820632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0.2226993555555556</v>
          </cell>
        </row>
        <row r="81">
          <cell r="AT81">
            <v>10.217924139777102</v>
          </cell>
        </row>
        <row r="83">
          <cell r="AT83">
            <v>4.342600000000001</v>
          </cell>
        </row>
        <row r="123">
          <cell r="AT123">
            <v>6.8247284817926746</v>
          </cell>
        </row>
      </sheetData>
      <sheetData sheetId="5">
        <row r="45">
          <cell r="AT45">
            <v>3.4692671222000033</v>
          </cell>
        </row>
        <row r="54">
          <cell r="AT54">
            <v>42.32900000000001</v>
          </cell>
        </row>
        <row r="58">
          <cell r="AT58">
            <v>10.730153949397916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0.15199935555555558</v>
          </cell>
        </row>
        <row r="81">
          <cell r="AT81">
            <v>13.341580450454284</v>
          </cell>
        </row>
        <row r="83">
          <cell r="AT83">
            <v>0.28859999999999997</v>
          </cell>
        </row>
        <row r="123">
          <cell r="AT123">
            <v>6.886150747402928</v>
          </cell>
        </row>
      </sheetData>
      <sheetData sheetId="6">
        <row r="45">
          <cell r="AT45">
            <v>37.1324071222</v>
          </cell>
        </row>
        <row r="54">
          <cell r="AT54">
            <v>194.07800000000003</v>
          </cell>
        </row>
        <row r="58">
          <cell r="AT58">
            <v>49.11594468146916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0.2226993555555556</v>
          </cell>
        </row>
        <row r="81">
          <cell r="AT81">
            <v>57.999425320169856</v>
          </cell>
        </row>
        <row r="83">
          <cell r="AT83">
            <v>7.833600000000003</v>
          </cell>
        </row>
        <row r="123">
          <cell r="AT123">
            <v>31.518497837957995</v>
          </cell>
        </row>
      </sheetData>
      <sheetData sheetId="7">
        <row r="45">
          <cell r="AT45">
            <v>29.121097122200005</v>
          </cell>
        </row>
        <row r="54">
          <cell r="AT54">
            <v>195.13799999999998</v>
          </cell>
        </row>
        <row r="58">
          <cell r="AT58">
            <v>49.36524367272383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0.2226993555555556</v>
          </cell>
        </row>
        <row r="81">
          <cell r="AT81">
            <v>58.92734098552244</v>
          </cell>
        </row>
        <row r="83">
          <cell r="AT83">
            <v>4.246599999999999</v>
          </cell>
        </row>
        <row r="123">
          <cell r="AT123">
            <v>32.62609846894935</v>
          </cell>
        </row>
      </sheetData>
      <sheetData sheetId="8">
        <row r="45">
          <cell r="AT45">
            <v>48.9292171222</v>
          </cell>
        </row>
        <row r="54">
          <cell r="AT54">
            <v>150.062</v>
          </cell>
        </row>
        <row r="58">
          <cell r="AT58">
            <v>37.81980064246289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0.2226993555555556</v>
          </cell>
        </row>
        <row r="81">
          <cell r="AT81">
            <v>59.08359157786686</v>
          </cell>
        </row>
        <row r="83">
          <cell r="AT83">
            <v>9.5546</v>
          </cell>
        </row>
        <row r="123">
          <cell r="AT123">
            <v>24.869041362777256</v>
          </cell>
        </row>
      </sheetData>
      <sheetData sheetId="9">
        <row r="45">
          <cell r="AT45">
            <v>2.392307122200003</v>
          </cell>
        </row>
        <row r="54">
          <cell r="AT54">
            <v>16.950000000000003</v>
          </cell>
        </row>
        <row r="58">
          <cell r="AT58">
            <v>4.131202649546967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0.15199935555555558</v>
          </cell>
        </row>
        <row r="81">
          <cell r="AT81">
            <v>8.671836443935813</v>
          </cell>
        </row>
        <row r="83">
          <cell r="AT83">
            <v>0.28860000000000063</v>
          </cell>
        </row>
        <row r="123">
          <cell r="AT123">
            <v>2.1461043366308408</v>
          </cell>
        </row>
      </sheetData>
      <sheetData sheetId="10">
        <row r="45">
          <cell r="AT45">
            <v>88.8554071222</v>
          </cell>
        </row>
        <row r="54">
          <cell r="AT54">
            <v>150.579</v>
          </cell>
        </row>
        <row r="58">
          <cell r="AT58">
            <v>37.85849562069342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2.4550993555555554</v>
          </cell>
        </row>
        <row r="81">
          <cell r="AT81">
            <v>58.168937176961684</v>
          </cell>
        </row>
        <row r="83">
          <cell r="AT83">
            <v>5.394599999999998</v>
          </cell>
        </row>
        <row r="123">
          <cell r="AT123">
            <v>25.229682070590638</v>
          </cell>
        </row>
      </sheetData>
      <sheetData sheetId="11">
        <row r="45">
          <cell r="AT45">
            <v>13.014079000000002</v>
          </cell>
        </row>
        <row r="54">
          <cell r="AT54">
            <v>77.63799999999999</v>
          </cell>
        </row>
        <row r="58">
          <cell r="AT58">
            <v>19.748500592798393</v>
          </cell>
        </row>
        <row r="78">
          <cell r="AT78">
            <v>0.1298538</v>
          </cell>
        </row>
        <row r="81">
          <cell r="AT81">
            <v>10.014266012092689</v>
          </cell>
        </row>
        <row r="83">
          <cell r="AT83">
            <v>2.6589213609443982</v>
          </cell>
        </row>
        <row r="123">
          <cell r="AT123">
            <v>11.78126927089509</v>
          </cell>
        </row>
      </sheetData>
      <sheetData sheetId="12">
        <row r="45">
          <cell r="AT45">
            <v>23.176609000000003</v>
          </cell>
        </row>
        <row r="54">
          <cell r="AT54">
            <v>86.071</v>
          </cell>
        </row>
        <row r="58">
          <cell r="AT58">
            <v>22.061096453453644</v>
          </cell>
        </row>
        <row r="78">
          <cell r="AT78">
            <v>0.1298538</v>
          </cell>
        </row>
        <row r="81">
          <cell r="AT81">
            <v>9.959033298945311</v>
          </cell>
        </row>
        <row r="83">
          <cell r="AT83">
            <v>5.427122059162012</v>
          </cell>
        </row>
        <row r="123">
          <cell r="AT123">
            <v>12.903485512646162</v>
          </cell>
        </row>
      </sheetData>
      <sheetData sheetId="13">
        <row r="45">
          <cell r="AT45">
            <v>59.4407671222</v>
          </cell>
        </row>
        <row r="54">
          <cell r="AT54">
            <v>128.714</v>
          </cell>
        </row>
        <row r="58">
          <cell r="AT58">
            <v>32.70252532583833</v>
          </cell>
        </row>
        <row r="63">
          <cell r="AT63">
            <v>0.0461895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0.3654055555555556</v>
          </cell>
        </row>
        <row r="81">
          <cell r="AT81">
            <v>69.06602903519607</v>
          </cell>
        </row>
        <row r="83">
          <cell r="AT83">
            <v>3.7042552990609963</v>
          </cell>
        </row>
        <row r="123">
          <cell r="AT123">
            <v>20.591900229593875</v>
          </cell>
        </row>
      </sheetData>
      <sheetData sheetId="14">
        <row r="45">
          <cell r="AT45">
            <v>44.1892971222</v>
          </cell>
        </row>
        <row r="54">
          <cell r="AT54">
            <v>124.456</v>
          </cell>
        </row>
        <row r="58">
          <cell r="AT58">
            <v>31.80692482953646</v>
          </cell>
        </row>
        <row r="64">
          <cell r="AT64">
            <v>0.0461895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0.09284555555555557</v>
          </cell>
        </row>
        <row r="81">
          <cell r="AT81">
            <v>66.44163187268948</v>
          </cell>
        </row>
        <row r="83">
          <cell r="AT83">
            <v>2.783566658015099</v>
          </cell>
        </row>
        <row r="123">
          <cell r="AT123">
            <v>18.069441998140647</v>
          </cell>
        </row>
      </sheetData>
      <sheetData sheetId="15">
        <row r="45">
          <cell r="AT45">
            <v>31.647257122200003</v>
          </cell>
        </row>
        <row r="54">
          <cell r="AT54">
            <v>129.608</v>
          </cell>
        </row>
        <row r="58">
          <cell r="AT58">
            <v>33.02966705957292</v>
          </cell>
        </row>
        <row r="63">
          <cell r="AT63">
            <v>0.2049895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0.09284555555555557</v>
          </cell>
        </row>
        <row r="81">
          <cell r="AT81">
            <v>51.533668269649326</v>
          </cell>
        </row>
        <row r="83">
          <cell r="AT83">
            <v>2.90624269385481</v>
          </cell>
        </row>
        <row r="123">
          <cell r="AT123">
            <v>19.936240388368184</v>
          </cell>
        </row>
      </sheetData>
      <sheetData sheetId="16">
        <row r="45">
          <cell r="AT45">
            <v>24.3842671222</v>
          </cell>
        </row>
        <row r="54">
          <cell r="AT54">
            <v>129.981</v>
          </cell>
        </row>
        <row r="58">
          <cell r="AT58">
            <v>33.12817163073294</v>
          </cell>
        </row>
        <row r="63">
          <cell r="AT63">
            <v>0.2049895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0.09284555555555557</v>
          </cell>
        </row>
        <row r="81">
          <cell r="AT81">
            <v>69.37410995836557</v>
          </cell>
        </row>
        <row r="83">
          <cell r="AT83">
            <v>2.876416961484593</v>
          </cell>
        </row>
        <row r="123">
          <cell r="AT123">
            <v>19.23515260240803</v>
          </cell>
        </row>
      </sheetData>
      <sheetData sheetId="17">
        <row r="45">
          <cell r="AT45">
            <v>47.2259071222</v>
          </cell>
        </row>
        <row r="54">
          <cell r="AT54">
            <v>147.087</v>
          </cell>
        </row>
        <row r="58">
          <cell r="AT58">
            <v>37.506982358914925</v>
          </cell>
        </row>
        <row r="63">
          <cell r="AT63">
            <v>0.0461895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0.09284555555555557</v>
          </cell>
        </row>
        <row r="81">
          <cell r="AT81">
            <v>69.20508669472326</v>
          </cell>
        </row>
        <row r="83">
          <cell r="AT83">
            <v>4.3180717395758315</v>
          </cell>
        </row>
        <row r="123">
          <cell r="AT123">
            <v>22.34735014090527</v>
          </cell>
        </row>
      </sheetData>
      <sheetData sheetId="18">
        <row r="45">
          <cell r="AT45">
            <v>67.6997471222</v>
          </cell>
        </row>
        <row r="54">
          <cell r="AT54">
            <v>132.502</v>
          </cell>
        </row>
        <row r="58">
          <cell r="AT58">
            <v>33.774683681893634</v>
          </cell>
        </row>
        <row r="63">
          <cell r="AT63">
            <v>0.0461895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0.09284555555555557</v>
          </cell>
        </row>
        <row r="81">
          <cell r="AT81">
            <v>68.84041154955352</v>
          </cell>
        </row>
        <row r="83">
          <cell r="AT83">
            <v>4.043659491709174</v>
          </cell>
        </row>
        <row r="123">
          <cell r="AT123">
            <v>19.843264595349257</v>
          </cell>
        </row>
      </sheetData>
      <sheetData sheetId="19">
        <row r="45">
          <cell r="AT45">
            <v>50.27315012220001</v>
          </cell>
        </row>
        <row r="54">
          <cell r="AT54">
            <v>128.5553</v>
          </cell>
        </row>
        <row r="58">
          <cell r="AT58">
            <v>32.96016473022837</v>
          </cell>
        </row>
        <row r="63">
          <cell r="AT63">
            <v>0.1050095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0.09284555555555557</v>
          </cell>
        </row>
        <row r="81">
          <cell r="AT81">
            <v>50.52623141552909</v>
          </cell>
        </row>
        <row r="83">
          <cell r="AT83">
            <v>5.24150254904765</v>
          </cell>
        </row>
        <row r="123">
          <cell r="AT123">
            <v>18.915754005741473</v>
          </cell>
        </row>
      </sheetData>
      <sheetData sheetId="21">
        <row r="45">
          <cell r="AT45">
            <v>17.58921</v>
          </cell>
        </row>
        <row r="54">
          <cell r="AT54">
            <v>92.22827</v>
          </cell>
        </row>
        <row r="58">
          <cell r="AT58">
            <v>23.631448999999996</v>
          </cell>
        </row>
        <row r="81">
          <cell r="AT81">
            <v>44.51398</v>
          </cell>
        </row>
        <row r="83">
          <cell r="AT83">
            <v>1.15462</v>
          </cell>
        </row>
        <row r="123">
          <cell r="AT123">
            <v>10.140007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Свод  ВДО (Михайл.район)"/>
      <sheetName val="Октяб.рн Первомайс 4а"/>
      <sheetName val="Свод Октябрьский"/>
      <sheetName val="Хороль ВДО"/>
      <sheetName val="Свод  ВДО (Филиал)"/>
      <sheetName val="9 мес"/>
      <sheetName val="12 мес "/>
    </sheetNames>
    <sheetDataSet>
      <sheetData sheetId="0">
        <row r="45">
          <cell r="AT45">
            <v>49.29224000000001</v>
          </cell>
        </row>
        <row r="54">
          <cell r="AT54">
            <v>321.9524493571717</v>
          </cell>
        </row>
        <row r="58">
          <cell r="AT58">
            <v>94.43209433670141</v>
          </cell>
        </row>
        <row r="66">
          <cell r="AT66">
            <v>116.09053144871797</v>
          </cell>
        </row>
        <row r="81">
          <cell r="AT81">
            <v>115.41333100000001</v>
          </cell>
        </row>
        <row r="83">
          <cell r="AT83">
            <v>24.736469109309045</v>
          </cell>
        </row>
        <row r="123">
          <cell r="AT123">
            <v>53.51869240419653</v>
          </cell>
        </row>
      </sheetData>
      <sheetData sheetId="1">
        <row r="45">
          <cell r="AT45">
            <v>1.27394</v>
          </cell>
        </row>
        <row r="54">
          <cell r="AT54">
            <v>52.45943446601694</v>
          </cell>
        </row>
        <row r="58">
          <cell r="AT58">
            <v>15.63891055833457</v>
          </cell>
        </row>
        <row r="66">
          <cell r="AT66">
            <v>32.47048211538461</v>
          </cell>
        </row>
        <row r="81">
          <cell r="AT81">
            <v>31.829355</v>
          </cell>
        </row>
        <row r="83">
          <cell r="AT83">
            <v>5.68170649580543</v>
          </cell>
        </row>
        <row r="123">
          <cell r="AT123">
            <v>9.969519639134948</v>
          </cell>
        </row>
      </sheetData>
      <sheetData sheetId="2">
        <row r="45">
          <cell r="AT45">
            <v>5.191459999999999</v>
          </cell>
        </row>
        <row r="54">
          <cell r="AT54">
            <v>185.72120915630734</v>
          </cell>
        </row>
        <row r="58">
          <cell r="AT58">
            <v>55.09597949976379</v>
          </cell>
        </row>
        <row r="66">
          <cell r="AT66">
            <v>44.93978044871795</v>
          </cell>
        </row>
        <row r="81">
          <cell r="AT81">
            <v>44.449079999999995</v>
          </cell>
        </row>
        <row r="83">
          <cell r="AT83">
            <v>12.624765622229667</v>
          </cell>
        </row>
        <row r="123">
          <cell r="AT123">
            <v>29.431147133779184</v>
          </cell>
        </row>
      </sheetData>
      <sheetData sheetId="3">
        <row r="45">
          <cell r="AT45">
            <v>22.39418</v>
          </cell>
        </row>
        <row r="54">
          <cell r="AT54">
            <v>263.29943167845505</v>
          </cell>
        </row>
        <row r="58">
          <cell r="AT58">
            <v>77.27433438002396</v>
          </cell>
        </row>
        <row r="66">
          <cell r="AT66">
            <v>63.49882594871795</v>
          </cell>
        </row>
        <row r="81">
          <cell r="AT81">
            <v>63.008125500000006</v>
          </cell>
        </row>
        <row r="83">
          <cell r="AT83">
            <v>17.40241039146345</v>
          </cell>
        </row>
        <row r="123">
          <cell r="AT123">
            <v>35.748258145263385</v>
          </cell>
        </row>
      </sheetData>
      <sheetData sheetId="4">
        <row r="45">
          <cell r="AT45">
            <v>0.7999499999999999</v>
          </cell>
        </row>
        <row r="54">
          <cell r="AT54">
            <v>34.681488607028854</v>
          </cell>
        </row>
        <row r="58">
          <cell r="AT58">
            <v>10.339049665252801</v>
          </cell>
        </row>
        <row r="66">
          <cell r="AT66">
            <v>9.011317115384614</v>
          </cell>
        </row>
        <row r="81">
          <cell r="AT81">
            <v>8.429189999999998</v>
          </cell>
        </row>
        <row r="83">
          <cell r="AT83">
            <v>3.58754813616833</v>
          </cell>
        </row>
        <row r="123">
          <cell r="AT123">
            <v>4.143746411745953</v>
          </cell>
        </row>
      </sheetData>
      <sheetData sheetId="5">
        <row r="45">
          <cell r="AT45">
            <v>1.1998</v>
          </cell>
        </row>
        <row r="54">
          <cell r="AT54">
            <v>40.251056248497456</v>
          </cell>
        </row>
        <row r="58">
          <cell r="AT58">
            <v>11.999417739749415</v>
          </cell>
        </row>
        <row r="66">
          <cell r="AT66">
            <v>10.364977115384615</v>
          </cell>
        </row>
        <row r="81">
          <cell r="AT81">
            <v>9.78285</v>
          </cell>
        </row>
        <row r="83">
          <cell r="AT83">
            <v>4.1605249630965595</v>
          </cell>
        </row>
        <row r="123">
          <cell r="AT123">
            <v>4.831002678275727</v>
          </cell>
        </row>
      </sheetData>
      <sheetData sheetId="6">
        <row r="45">
          <cell r="AT45">
            <v>66.81968</v>
          </cell>
        </row>
        <row r="54">
          <cell r="AT54">
            <v>272.84539269537424</v>
          </cell>
        </row>
        <row r="58">
          <cell r="AT58">
            <v>80.07592026632337</v>
          </cell>
        </row>
        <row r="66">
          <cell r="AT66">
            <v>68.61749094871796</v>
          </cell>
        </row>
        <row r="81">
          <cell r="AT81">
            <v>68.1267905</v>
          </cell>
        </row>
        <row r="83">
          <cell r="AT83">
            <v>21.407176044053127</v>
          </cell>
        </row>
        <row r="123">
          <cell r="AT123">
            <v>42.213260294444794</v>
          </cell>
        </row>
      </sheetData>
      <sheetData sheetId="7">
        <row r="45">
          <cell r="AT45">
            <v>56.056850000000004</v>
          </cell>
        </row>
        <row r="54">
          <cell r="AT54">
            <v>277.6144022596452</v>
          </cell>
        </row>
        <row r="58">
          <cell r="AT58">
            <v>81.47555592077882</v>
          </cell>
        </row>
        <row r="66">
          <cell r="AT66">
            <v>69.89100844871794</v>
          </cell>
        </row>
        <row r="81">
          <cell r="AT81">
            <v>69.400308</v>
          </cell>
        </row>
        <row r="83">
          <cell r="AT83">
            <v>20.35289680924637</v>
          </cell>
        </row>
        <row r="123">
          <cell r="AT123">
            <v>42.108634299045505</v>
          </cell>
        </row>
      </sheetData>
      <sheetData sheetId="8">
        <row r="45">
          <cell r="AT45">
            <v>9.14898</v>
          </cell>
        </row>
        <row r="54">
          <cell r="AT54">
            <v>135.18082007612261</v>
          </cell>
        </row>
        <row r="58">
          <cell r="AT58">
            <v>40.29934321427531</v>
          </cell>
        </row>
        <row r="66">
          <cell r="AT66">
            <v>33.537805115384614</v>
          </cell>
        </row>
        <row r="81">
          <cell r="AT81">
            <v>32.955678</v>
          </cell>
        </row>
        <row r="83">
          <cell r="AT83">
            <v>12.993383706360262</v>
          </cell>
        </row>
        <row r="123">
          <cell r="AT123">
            <v>16.31207610408554</v>
          </cell>
        </row>
      </sheetData>
      <sheetData sheetId="9">
        <row r="45">
          <cell r="AT45">
            <v>11.669979999999999</v>
          </cell>
        </row>
        <row r="54">
          <cell r="AT54">
            <v>82.05364359258901</v>
          </cell>
        </row>
        <row r="58">
          <cell r="AT58">
            <v>24.08163665846535</v>
          </cell>
        </row>
        <row r="66">
          <cell r="AT66">
            <v>40.040399748717945</v>
          </cell>
        </row>
        <row r="81">
          <cell r="AT81">
            <v>39.54969929999999</v>
          </cell>
        </row>
        <row r="83">
          <cell r="AT83">
            <v>6.66582916109857</v>
          </cell>
        </row>
        <row r="123">
          <cell r="AT123">
            <v>15.143464493372623</v>
          </cell>
        </row>
      </sheetData>
      <sheetData sheetId="10">
        <row r="45">
          <cell r="AT45">
            <v>14.637679999999998</v>
          </cell>
        </row>
        <row r="54">
          <cell r="AT54">
            <v>274.36745008233805</v>
          </cell>
        </row>
        <row r="58">
          <cell r="AT58">
            <v>80.52301489694145</v>
          </cell>
        </row>
        <row r="66">
          <cell r="AT66">
            <v>68.51576544871794</v>
          </cell>
        </row>
        <row r="81">
          <cell r="AT81">
            <v>68.025065</v>
          </cell>
        </row>
        <row r="83">
          <cell r="AT83">
            <v>17.277584558147947</v>
          </cell>
        </row>
        <row r="123">
          <cell r="AT123">
            <v>37.3796665707769</v>
          </cell>
        </row>
      </sheetData>
      <sheetData sheetId="11">
        <row r="45">
          <cell r="AT45">
            <v>3.14929</v>
          </cell>
        </row>
        <row r="54">
          <cell r="AT54">
            <v>71.59681237454912</v>
          </cell>
        </row>
        <row r="58">
          <cell r="AT58">
            <v>21.012563470821423</v>
          </cell>
        </row>
        <row r="66">
          <cell r="AT66">
            <v>17.622716448717952</v>
          </cell>
        </row>
        <row r="81">
          <cell r="AT81">
            <v>17.132016</v>
          </cell>
        </row>
        <row r="83">
          <cell r="AT83">
            <v>4.90837747969985</v>
          </cell>
        </row>
        <row r="123">
          <cell r="AT123">
            <v>9.592350575716152</v>
          </cell>
        </row>
      </sheetData>
      <sheetData sheetId="12">
        <row r="45">
          <cell r="AT45">
            <v>6.03911</v>
          </cell>
        </row>
        <row r="54">
          <cell r="AT54">
            <v>71.2545785628449</v>
          </cell>
        </row>
        <row r="58">
          <cell r="AT58">
            <v>20.912125309834366</v>
          </cell>
        </row>
        <row r="66">
          <cell r="AT66">
            <v>17.55248494871795</v>
          </cell>
        </row>
        <row r="81">
          <cell r="AT81">
            <v>17.0617845</v>
          </cell>
        </row>
        <row r="83">
          <cell r="AT83">
            <v>5.402543223851497</v>
          </cell>
        </row>
        <row r="123">
          <cell r="AT123">
            <v>9.73275097535976</v>
          </cell>
        </row>
      </sheetData>
      <sheetData sheetId="14">
        <row r="45">
          <cell r="AT45">
            <v>70.32356</v>
          </cell>
        </row>
        <row r="54">
          <cell r="AT54">
            <v>338.14970000000005</v>
          </cell>
        </row>
        <row r="58">
          <cell r="AT58">
            <v>101.56136</v>
          </cell>
        </row>
        <row r="66">
          <cell r="AT66">
            <v>88.4991</v>
          </cell>
        </row>
        <row r="81">
          <cell r="AT81">
            <v>86.88789</v>
          </cell>
        </row>
        <row r="83">
          <cell r="AT83">
            <v>14.874940000000002</v>
          </cell>
        </row>
        <row r="123">
          <cell r="AT123">
            <v>43.18462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Дет.дом.Новош."/>
      <sheetName val="Свод  ВДО (Михайл.район)"/>
      <sheetName val="Октяб.рн Первомайс 4а"/>
      <sheetName val="Покр.Школа Интер."/>
      <sheetName val="Свод Октябрьский"/>
      <sheetName val="Хороль ВДО"/>
      <sheetName val="Свод  ВДО (Филиал)"/>
      <sheetName val="9 мес"/>
      <sheetName val="12 мес "/>
    </sheetNames>
    <sheetDataSet>
      <sheetData sheetId="13">
        <row r="45">
          <cell r="AT45">
            <v>36.296587</v>
          </cell>
        </row>
        <row r="54">
          <cell r="AT54">
            <v>175.85468744431705</v>
          </cell>
        </row>
        <row r="58">
          <cell r="AT58">
            <v>60.26682000525501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74.65302823412564</v>
          </cell>
        </row>
        <row r="83">
          <cell r="AT83">
            <v>2.177695273613258</v>
          </cell>
        </row>
        <row r="123">
          <cell r="AT123">
            <v>28.578386503424067</v>
          </cell>
        </row>
      </sheetData>
      <sheetData sheetId="14">
        <row r="45">
          <cell r="AT45">
            <v>73.917801</v>
          </cell>
        </row>
        <row r="54">
          <cell r="AT54">
            <v>192.45450770166974</v>
          </cell>
        </row>
        <row r="58">
          <cell r="AT58">
            <v>65.84324893829333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76.52115212258065</v>
          </cell>
        </row>
        <row r="83">
          <cell r="AT83">
            <v>3.221826808659788</v>
          </cell>
        </row>
        <row r="123">
          <cell r="AT123">
            <v>37.48369629586972</v>
          </cell>
        </row>
      </sheetData>
      <sheetData sheetId="15">
        <row r="45">
          <cell r="AT45">
            <v>41.651686999999995</v>
          </cell>
        </row>
        <row r="54">
          <cell r="AT54">
            <v>178.53187768965202</v>
          </cell>
        </row>
        <row r="58">
          <cell r="AT58">
            <v>61.13257547500212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55.21645126536503</v>
          </cell>
        </row>
        <row r="83">
          <cell r="AT83">
            <v>2.3456739807773106</v>
          </cell>
        </row>
        <row r="123">
          <cell r="AT123">
            <v>27.185489708800105</v>
          </cell>
        </row>
      </sheetData>
      <sheetData sheetId="16">
        <row r="45">
          <cell r="AT45">
            <v>37.594587000000004</v>
          </cell>
        </row>
        <row r="54">
          <cell r="AT54">
            <v>181.3393210734066</v>
          </cell>
        </row>
        <row r="58">
          <cell r="AT58">
            <v>62.11746551409656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77.1164407</v>
          </cell>
        </row>
        <row r="83">
          <cell r="AT83">
            <v>1.5330279152922637</v>
          </cell>
        </row>
        <row r="123">
          <cell r="AT123">
            <v>30.154898177117605</v>
          </cell>
        </row>
      </sheetData>
      <sheetData sheetId="17">
        <row r="45">
          <cell r="AT45">
            <v>42.953897</v>
          </cell>
        </row>
        <row r="54">
          <cell r="AT54">
            <v>193.0663669209302</v>
          </cell>
        </row>
        <row r="58">
          <cell r="AT58">
            <v>65.83383065044995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75.73570904974534</v>
          </cell>
        </row>
        <row r="83">
          <cell r="AT83">
            <v>2.75733550993281</v>
          </cell>
        </row>
        <row r="123">
          <cell r="AT123">
            <v>33.51962376659352</v>
          </cell>
        </row>
      </sheetData>
      <sheetData sheetId="18">
        <row r="45">
          <cell r="AT45">
            <v>17.779407</v>
          </cell>
        </row>
        <row r="54">
          <cell r="AT54">
            <v>193.2268883770637</v>
          </cell>
        </row>
        <row r="58">
          <cell r="AT58">
            <v>66.19604772281701</v>
          </cell>
        </row>
        <row r="63">
          <cell r="AT63">
            <v>0.141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75.56139047674024</v>
          </cell>
        </row>
        <row r="83">
          <cell r="AT83">
            <v>2.0030030302898805</v>
          </cell>
        </row>
        <row r="123">
          <cell r="AT123">
            <v>27.990773491716443</v>
          </cell>
        </row>
      </sheetData>
      <sheetData sheetId="19">
        <row r="45">
          <cell r="AT45">
            <v>57.409687</v>
          </cell>
        </row>
        <row r="54">
          <cell r="AT54">
            <v>181.36115880647833</v>
          </cell>
        </row>
        <row r="58">
          <cell r="AT58">
            <v>62.116596940297924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54.907933315110355</v>
          </cell>
        </row>
        <row r="83">
          <cell r="AT83">
            <v>3.6897085438638486</v>
          </cell>
        </row>
        <row r="123">
          <cell r="AT123">
            <v>26.680310125519355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Дет.дом.Новош."/>
      <sheetName val="Свод  ВДО (Михайл.район)"/>
      <sheetName val="Октяб.рн Первомайс 4а"/>
      <sheetName val="Покр.Школа Интер."/>
      <sheetName val="Свод Октябрьский"/>
      <sheetName val="Хороль ВДО"/>
      <sheetName val="Свод  ВДО (Филиал)"/>
      <sheetName val="9 мес"/>
      <sheetName val="12 мес "/>
    </sheetNames>
    <sheetDataSet>
      <sheetData sheetId="0">
        <row r="48">
          <cell r="AT48">
            <v>21.580477000000002</v>
          </cell>
        </row>
        <row r="54">
          <cell r="AT54">
            <v>193.56430787660128</v>
          </cell>
        </row>
        <row r="58">
          <cell r="AT58">
            <v>67.12774280968618</v>
          </cell>
        </row>
        <row r="63">
          <cell r="AT63">
            <v>0.10947499999999999</v>
          </cell>
        </row>
        <row r="68">
          <cell r="AT68">
            <v>0.21329599999999999</v>
          </cell>
        </row>
        <row r="75">
          <cell r="AT75">
            <v>0.185342</v>
          </cell>
        </row>
        <row r="78">
          <cell r="AT78">
            <v>0.5388505</v>
          </cell>
        </row>
        <row r="79">
          <cell r="AT79">
            <v>0.0968705</v>
          </cell>
        </row>
        <row r="81">
          <cell r="AT81">
            <v>75.02488191166461</v>
          </cell>
        </row>
        <row r="83">
          <cell r="AT83">
            <v>9.211349616327102</v>
          </cell>
        </row>
        <row r="123">
          <cell r="AT123">
            <v>27.17825232742966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.12"/>
      <sheetName val="02.12"/>
      <sheetName val="03.12"/>
      <sheetName val="04.12"/>
      <sheetName val="05.12"/>
      <sheetName val="06.12"/>
      <sheetName val="07.12"/>
      <sheetName val="08.12"/>
      <sheetName val="09.12"/>
      <sheetName val="10.12"/>
      <sheetName val="11.12"/>
      <sheetName val="12.12"/>
      <sheetName val="почта муз кв1д7"/>
      <sheetName val="Лист1"/>
    </sheetNames>
    <sheetDataSet>
      <sheetData sheetId="6">
        <row r="5">
          <cell r="W5">
            <v>553749.54</v>
          </cell>
          <cell r="X5">
            <v>547507.26</v>
          </cell>
        </row>
        <row r="6">
          <cell r="W6">
            <v>83984.7</v>
          </cell>
          <cell r="X6">
            <v>101026.72000000002</v>
          </cell>
        </row>
        <row r="7">
          <cell r="W7">
            <v>306330.17</v>
          </cell>
          <cell r="X7">
            <v>386607.2</v>
          </cell>
        </row>
        <row r="8">
          <cell r="W8">
            <v>517096.85999999987</v>
          </cell>
          <cell r="X8">
            <v>503322.1099999999</v>
          </cell>
        </row>
        <row r="9">
          <cell r="W9">
            <v>58676.4</v>
          </cell>
          <cell r="X9">
            <v>85148.64</v>
          </cell>
        </row>
        <row r="10">
          <cell r="W10">
            <v>68099.04</v>
          </cell>
          <cell r="X10">
            <v>80262.98999999999</v>
          </cell>
        </row>
        <row r="11">
          <cell r="W11">
            <v>523804.18000000005</v>
          </cell>
          <cell r="X11">
            <v>509944.97</v>
          </cell>
        </row>
        <row r="12">
          <cell r="W12">
            <v>532961.6999999998</v>
          </cell>
          <cell r="X12">
            <v>521062.95999999996</v>
          </cell>
        </row>
        <row r="13">
          <cell r="W13">
            <v>221878.8</v>
          </cell>
          <cell r="X13">
            <v>283890.93000000005</v>
          </cell>
        </row>
        <row r="14">
          <cell r="W14">
            <v>161175.31999999998</v>
          </cell>
          <cell r="X14">
            <v>157252.19999999998</v>
          </cell>
        </row>
        <row r="15">
          <cell r="Z15">
            <v>450900.0000000001</v>
          </cell>
          <cell r="AA15">
            <v>440562.07627118647</v>
          </cell>
        </row>
        <row r="16">
          <cell r="W16">
            <v>141487.50000000003</v>
          </cell>
          <cell r="X16">
            <v>121692.67</v>
          </cell>
        </row>
        <row r="17">
          <cell r="W17">
            <v>141116.22</v>
          </cell>
          <cell r="X17">
            <v>128938.62</v>
          </cell>
        </row>
        <row r="19">
          <cell r="X19">
            <v>91726.36</v>
          </cell>
        </row>
        <row r="20">
          <cell r="X20">
            <v>91389.69</v>
          </cell>
        </row>
        <row r="21">
          <cell r="X21">
            <v>97028.29000000001</v>
          </cell>
        </row>
        <row r="22">
          <cell r="X22">
            <v>105620.37</v>
          </cell>
        </row>
        <row r="23">
          <cell r="X23">
            <v>138332.52000000002</v>
          </cell>
        </row>
        <row r="24">
          <cell r="X24">
            <v>108870.72999999998</v>
          </cell>
        </row>
        <row r="25">
          <cell r="X25">
            <v>97960.73999999999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.11"/>
      <sheetName val="01.2012"/>
      <sheetName val="02.2012"/>
      <sheetName val="03.2012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</sheetNames>
    <sheetDataSet>
      <sheetData sheetId="10">
        <row r="5">
          <cell r="P5">
            <v>954124.62</v>
          </cell>
          <cell r="Q5">
            <v>1024945.1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55"/>
  <sheetViews>
    <sheetView view="pageBreakPreview" zoomScaleSheetLayoutView="100" zoomScalePageLayoutView="0" workbookViewId="0" topLeftCell="B4">
      <selection activeCell="H25" sqref="H25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3" width="11.25390625" style="0" customWidth="1"/>
    <col min="4" max="4" width="11.375" style="0" customWidth="1"/>
    <col min="5" max="5" width="11.75390625" style="0" customWidth="1"/>
    <col min="6" max="6" width="11.125" style="0" customWidth="1"/>
    <col min="7" max="7" width="11.25390625" style="0" customWidth="1"/>
    <col min="9" max="9" width="9.625" style="0" bestFit="1" customWidth="1"/>
  </cols>
  <sheetData>
    <row r="6" spans="1:6" ht="26.25">
      <c r="A6" s="117" t="s">
        <v>3</v>
      </c>
      <c r="B6" s="117"/>
      <c r="C6" s="117"/>
      <c r="D6" s="117"/>
      <c r="E6" s="117"/>
      <c r="F6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43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spans="2:7" s="2" customFormat="1" ht="12.75">
      <c r="B10" s="21"/>
      <c r="C10" s="21"/>
      <c r="D10" s="21"/>
      <c r="E10" s="21"/>
      <c r="F10" s="21"/>
      <c r="G10" s="21"/>
    </row>
    <row r="11" spans="2:3" s="2" customFormat="1" ht="12.75">
      <c r="B11" s="1"/>
      <c r="C11" s="1"/>
    </row>
    <row r="12" ht="13.5" thickBot="1">
      <c r="G12" t="s">
        <v>91</v>
      </c>
    </row>
    <row r="13" spans="1:8" s="4" customFormat="1" ht="48.75" customHeight="1">
      <c r="A13" s="3" t="s">
        <v>0</v>
      </c>
      <c r="B13" s="17" t="s">
        <v>1</v>
      </c>
      <c r="C13" s="18" t="s">
        <v>27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88</v>
      </c>
    </row>
    <row r="14" spans="1:8" ht="12.75">
      <c r="A14" s="6">
        <v>1</v>
      </c>
      <c r="B14" s="13" t="s">
        <v>12</v>
      </c>
      <c r="C14" s="35">
        <f>345.559164/1.18</f>
        <v>292.8467491525424</v>
      </c>
      <c r="D14" s="36">
        <f>518.21655/1.18</f>
        <v>439.1665677966102</v>
      </c>
      <c r="E14" s="37">
        <f>518.03281/1.18</f>
        <v>439.01085593220347</v>
      </c>
      <c r="F14" s="34">
        <f>517.97591/1.18</f>
        <v>438.96263559322034</v>
      </c>
      <c r="G14" s="34"/>
      <c r="H14" s="34">
        <f>C14+D14+E14+F14+G14</f>
        <v>1609.9868084745763</v>
      </c>
    </row>
    <row r="15" spans="1:8" ht="12.75">
      <c r="A15" s="6">
        <v>2</v>
      </c>
      <c r="B15" s="13" t="s">
        <v>13</v>
      </c>
      <c r="C15" s="38">
        <f>225.32612/1.18</f>
        <v>190.95433898305086</v>
      </c>
      <c r="D15" s="39">
        <f>417.12731/1.18</f>
        <v>353.4977203389831</v>
      </c>
      <c r="E15" s="39">
        <f>483.23505/1.18</f>
        <v>409.52122881355933</v>
      </c>
      <c r="F15" s="30">
        <f>515.30823/1.18</f>
        <v>436.7018898305085</v>
      </c>
      <c r="G15" s="30">
        <f>'[8]07.12'!$X$19/1.18/1000</f>
        <v>77.73420338983051</v>
      </c>
      <c r="H15" s="34">
        <f>C15+D15+E15+F15+G15</f>
        <v>1468.4093813559323</v>
      </c>
    </row>
    <row r="16" spans="1:8" ht="25.5">
      <c r="A16" s="6">
        <v>3</v>
      </c>
      <c r="B16" s="20" t="s">
        <v>92</v>
      </c>
      <c r="C16" s="33">
        <f>(C14-C15)*1.18</f>
        <v>120.23304399999998</v>
      </c>
      <c r="D16" s="30">
        <f>(D14-D15)*1.18+C16</f>
        <v>221.32228399999997</v>
      </c>
      <c r="E16" s="30">
        <f>(E14-E15)*1.18+D16</f>
        <v>256.12004400000006</v>
      </c>
      <c r="F16" s="30">
        <f>(F14-F15)*1.18+E16+F17</f>
        <v>231.05400400000002</v>
      </c>
      <c r="G16" s="30">
        <f>(G14-G15)*1.18+F16+G17</f>
        <v>139.32764400000002</v>
      </c>
      <c r="H16" s="30">
        <f>(H14-H15)*1.18+H17</f>
        <v>139.32764399999988</v>
      </c>
    </row>
    <row r="17" spans="1:8" ht="12.75">
      <c r="A17" s="6"/>
      <c r="B17" s="12" t="s">
        <v>41</v>
      </c>
      <c r="C17" s="19"/>
      <c r="D17" s="19"/>
      <c r="E17" s="19"/>
      <c r="F17" s="49">
        <v>-27.73372</v>
      </c>
      <c r="G17" s="49"/>
      <c r="H17" s="30">
        <f>C17+D17+E17+F17+G17</f>
        <v>-27.73372</v>
      </c>
    </row>
    <row r="18" spans="1:17" ht="31.5" customHeight="1">
      <c r="A18" s="6">
        <v>4</v>
      </c>
      <c r="B18" s="20" t="s">
        <v>2</v>
      </c>
      <c r="C18" s="30">
        <f aca="true" t="shared" si="0" ref="C18:H18">SUM(C19:C25)</f>
        <v>361.3732725389333</v>
      </c>
      <c r="D18" s="30">
        <f t="shared" si="0"/>
        <v>438.7387997006915</v>
      </c>
      <c r="E18" s="30">
        <f t="shared" si="0"/>
        <v>380.4957696794976</v>
      </c>
      <c r="F18" s="30">
        <f t="shared" si="0"/>
        <v>443.882390799718</v>
      </c>
      <c r="G18" s="30">
        <f t="shared" si="0"/>
        <v>0</v>
      </c>
      <c r="H18" s="30">
        <f t="shared" si="0"/>
        <v>1624.4902327188404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1:8" ht="12.75">
      <c r="A19" s="29" t="s">
        <v>14</v>
      </c>
      <c r="B19" s="12" t="s">
        <v>4</v>
      </c>
      <c r="C19" s="30">
        <f>'[2]ул.Ленинская д1'!$AT$44</f>
        <v>172.52951</v>
      </c>
      <c r="D19" s="30">
        <f>'[3]ул.Ленинская д1'!$AT$44</f>
        <v>65.21983</v>
      </c>
      <c r="E19" s="28">
        <f>'[4]ул.Ленинская д1'!$AT$45</f>
        <v>59.4407671222</v>
      </c>
      <c r="F19" s="40">
        <f>'[6]ул.Ленинская д1'!$AT$45</f>
        <v>36.296587</v>
      </c>
      <c r="G19" s="40"/>
      <c r="H19" s="30">
        <f aca="true" t="shared" si="1" ref="H19:H24">C19+D19+E19+F19+G19</f>
        <v>333.4866941222</v>
      </c>
    </row>
    <row r="20" spans="1:8" ht="12.75">
      <c r="A20" s="29" t="s">
        <v>15</v>
      </c>
      <c r="B20" s="12" t="s">
        <v>19</v>
      </c>
      <c r="C20" s="30">
        <f>'[2]ул.Ленинская д1'!$AT$51+'[2]ул.Ленинская д1'!$AT$55</f>
        <v>88.18554664874</v>
      </c>
      <c r="D20" s="30">
        <f>'[3]ул.Ленинская д1'!$AT$51+'[3]ул.Ленинская д1'!$AT$55</f>
        <v>182.1898526342</v>
      </c>
      <c r="E20" s="28">
        <f>'[4]ул.Ленинская д1'!$AT$54+'[4]ул.Ленинская д1'!$AT$58</f>
        <v>161.41652532583834</v>
      </c>
      <c r="F20" s="30">
        <f>'[6]ул.Ленинская д1'!$AT$54+'[6]ул.Ленинская д1'!$AT$58</f>
        <v>236.12150744957205</v>
      </c>
      <c r="G20" s="30"/>
      <c r="H20" s="30">
        <f t="shared" si="1"/>
        <v>667.9134320583504</v>
      </c>
    </row>
    <row r="21" spans="1:8" ht="12.75">
      <c r="A21" s="29" t="s">
        <v>16</v>
      </c>
      <c r="B21" s="12" t="s">
        <v>5</v>
      </c>
      <c r="C21" s="30">
        <f>'[2]ул.Ленинская д1'!$AT$83</f>
        <v>40.5899</v>
      </c>
      <c r="D21" s="30">
        <f>'[3]ул.Ленинская д1'!$AT$83</f>
        <v>70.04661999999999</v>
      </c>
      <c r="E21" s="30">
        <f>'[4]ул.Ленинская д1'!$AT$81</f>
        <v>69.06602903519607</v>
      </c>
      <c r="F21" s="30">
        <f>'[6]ул.Ленинская д1'!$AT$81</f>
        <v>74.65302823412564</v>
      </c>
      <c r="G21" s="30"/>
      <c r="H21" s="30">
        <f t="shared" si="1"/>
        <v>254.3555772693217</v>
      </c>
    </row>
    <row r="22" spans="1:8" ht="12.75">
      <c r="A22" s="29" t="s">
        <v>17</v>
      </c>
      <c r="B22" s="12" t="s">
        <v>6</v>
      </c>
      <c r="C22" s="30"/>
      <c r="D22" s="30">
        <f>'[3]ул.Ленинская д1'!$AT$84</f>
        <v>24.94373477</v>
      </c>
      <c r="E22" s="30">
        <f>'[4]ул.Ленинская д1'!$AT$83</f>
        <v>3.7042552990609963</v>
      </c>
      <c r="F22" s="30">
        <f>'[6]ул.Ленинская д1'!$AT$83</f>
        <v>2.177695273613258</v>
      </c>
      <c r="G22" s="30"/>
      <c r="H22" s="30">
        <f t="shared" si="1"/>
        <v>30.825685342674255</v>
      </c>
    </row>
    <row r="23" spans="1:8" ht="12.75">
      <c r="A23" s="29" t="s">
        <v>18</v>
      </c>
      <c r="B23" s="12" t="s">
        <v>7</v>
      </c>
      <c r="C23" s="30">
        <f>'[2]ул.Ленинская д1'!$AT$124+'[2]ул.Ленинская д1'!$AT$84</f>
        <v>16.141303517312</v>
      </c>
      <c r="D23" s="30">
        <f>'[3]ул.Ленинская д1'!$AT$124</f>
        <v>29.837777127000003</v>
      </c>
      <c r="E23" s="30">
        <f>'[4]ул.Ленинская д1'!$AT$123</f>
        <v>20.591900229593875</v>
      </c>
      <c r="F23" s="30">
        <f>'[6]ул.Ленинская д1'!$AT$123</f>
        <v>28.578386503424067</v>
      </c>
      <c r="G23" s="30"/>
      <c r="H23" s="30">
        <f t="shared" si="1"/>
        <v>95.14936737732995</v>
      </c>
    </row>
    <row r="24" spans="1:8" ht="12.75">
      <c r="A24" s="29" t="s">
        <v>20</v>
      </c>
      <c r="B24" s="50" t="s">
        <v>24</v>
      </c>
      <c r="C24" s="30"/>
      <c r="D24" s="30">
        <f>'[3]ул.Ленинская д1'!$AT$79+'[3]ул.Ленинская д1'!$AT$59</f>
        <v>0.626</v>
      </c>
      <c r="E24" s="30">
        <f>'[4]ул.Ленинская д1'!$AT$68+'[4]ул.Ленинская д1'!$AT$75+'[4]ул.Ленинская д1'!$AT$78+'[4]ул.Ленинская д1'!$AT$63</f>
        <v>0.4246642777777778</v>
      </c>
      <c r="F24" s="30">
        <f>'[6]ул.Ленинская д1'!$AT$79+'[6]ул.Ленинская д1'!$AT$78+'[6]ул.Ленинская д1'!$AT$68</f>
        <v>0.210791</v>
      </c>
      <c r="G24" s="30"/>
      <c r="H24" s="30">
        <f t="shared" si="1"/>
        <v>1.2614552777777779</v>
      </c>
    </row>
    <row r="25" spans="1:8" ht="13.5" thickBot="1">
      <c r="A25" s="29" t="s">
        <v>86</v>
      </c>
      <c r="B25" s="24" t="s">
        <v>87</v>
      </c>
      <c r="C25" s="30">
        <f>C14*15%</f>
        <v>43.92701237288136</v>
      </c>
      <c r="D25" s="30">
        <f>D14*15%</f>
        <v>65.87498516949152</v>
      </c>
      <c r="E25" s="30">
        <f>E14*15%</f>
        <v>65.85162838983052</v>
      </c>
      <c r="F25" s="70">
        <f>F14*15%</f>
        <v>65.84439533898305</v>
      </c>
      <c r="G25" s="74"/>
      <c r="H25" s="70">
        <f>H14*15%</f>
        <v>241.49802127118642</v>
      </c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7" ht="12.75">
      <c r="A27" s="9"/>
      <c r="B27" s="9"/>
      <c r="C27" s="9"/>
      <c r="D27" s="9"/>
      <c r="E27" s="9"/>
      <c r="F27" s="9"/>
      <c r="G27" s="14"/>
    </row>
    <row r="28" spans="1:7" ht="12.75">
      <c r="A28" s="9"/>
      <c r="B28" s="9"/>
      <c r="C28" s="9"/>
      <c r="D28" s="9"/>
      <c r="E28" s="9"/>
      <c r="F28" s="9"/>
      <c r="G28" s="9"/>
    </row>
    <row r="29" spans="1:7" ht="68.25" customHeight="1">
      <c r="A29" s="9"/>
      <c r="B29" s="31" t="s">
        <v>22</v>
      </c>
      <c r="C29" s="31"/>
      <c r="D29" s="31"/>
      <c r="E29" s="15" t="s">
        <v>8</v>
      </c>
      <c r="F29" s="9"/>
      <c r="G29" s="10"/>
    </row>
    <row r="30" spans="1:7" ht="48" customHeight="1">
      <c r="A30" s="9"/>
      <c r="B30" s="15" t="s">
        <v>9</v>
      </c>
      <c r="C30" s="15"/>
      <c r="D30" s="15"/>
      <c r="E30" s="15" t="s">
        <v>10</v>
      </c>
      <c r="F30" s="9"/>
      <c r="G30" s="10"/>
    </row>
    <row r="31" spans="1:8" ht="12.75">
      <c r="A31" s="9"/>
      <c r="B31" s="15"/>
      <c r="C31" s="15"/>
      <c r="D31" s="15"/>
      <c r="E31" s="15"/>
      <c r="F31" s="9"/>
      <c r="G31" s="10"/>
      <c r="H31" s="5"/>
    </row>
    <row r="32" spans="1:8" ht="12.75">
      <c r="A32" s="9"/>
      <c r="B32" s="9"/>
      <c r="C32" s="9"/>
      <c r="D32" s="9"/>
      <c r="E32" s="9"/>
      <c r="F32" s="9"/>
      <c r="G32" s="10"/>
      <c r="H32" s="1"/>
    </row>
    <row r="33" spans="1:8" s="2" customFormat="1" ht="12.75">
      <c r="A33" s="15"/>
      <c r="B33" s="15"/>
      <c r="C33" s="15"/>
      <c r="D33" s="15"/>
      <c r="E33" s="15"/>
      <c r="F33" s="15"/>
      <c r="G33" s="16"/>
      <c r="H33" s="7"/>
    </row>
    <row r="34" spans="7:9" s="9" customFormat="1" ht="12.75">
      <c r="G34" s="10"/>
      <c r="H34"/>
      <c r="I34" s="7"/>
    </row>
    <row r="35" spans="7:9" s="9" customFormat="1" ht="12.75">
      <c r="G35" s="10"/>
      <c r="H35"/>
      <c r="I35" s="7"/>
    </row>
    <row r="36" spans="1:7" ht="12.75">
      <c r="A36" s="9"/>
      <c r="B36" s="9"/>
      <c r="C36" s="9"/>
      <c r="D36" s="9"/>
      <c r="E36" s="9"/>
      <c r="F36" s="9"/>
      <c r="G36" s="10"/>
    </row>
    <row r="37" s="9" customFormat="1" ht="12.75">
      <c r="H37"/>
    </row>
    <row r="38" s="9" customFormat="1" ht="12.75">
      <c r="H38" s="1"/>
    </row>
    <row r="39" spans="2:8" s="9" customFormat="1" ht="12.75">
      <c r="B39" s="11" t="s">
        <v>11</v>
      </c>
      <c r="C39" s="11"/>
      <c r="D39" s="11"/>
      <c r="H39" s="1"/>
    </row>
    <row r="40" spans="2:8" s="9" customFormat="1" ht="12.75">
      <c r="B40" s="9" t="s">
        <v>21</v>
      </c>
      <c r="H40" s="8"/>
    </row>
    <row r="41" s="9" customFormat="1" ht="12.75">
      <c r="H41" s="8"/>
    </row>
    <row r="42" s="9" customFormat="1" ht="12.75">
      <c r="H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H50" s="9"/>
    </row>
    <row r="51" ht="12.75">
      <c r="H51" s="9"/>
    </row>
    <row r="52" ht="12.75">
      <c r="H52" s="9"/>
    </row>
    <row r="53" ht="12.75">
      <c r="H53" s="9"/>
    </row>
    <row r="54" ht="12.75">
      <c r="H54" s="9"/>
    </row>
    <row r="55" ht="12.75">
      <c r="H55" s="9"/>
    </row>
  </sheetData>
  <sheetProtection/>
  <mergeCells count="3">
    <mergeCell ref="A6:F6"/>
    <mergeCell ref="B7:F7"/>
    <mergeCell ref="A8:F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5:Q61"/>
  <sheetViews>
    <sheetView view="pageBreakPreview" zoomScaleSheetLayoutView="100" zoomScalePageLayoutView="0" workbookViewId="0" topLeftCell="A16">
      <selection activeCell="G44" sqref="G44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11.25390625" style="0" customWidth="1"/>
    <col min="4" max="4" width="11.375" style="0" customWidth="1"/>
    <col min="5" max="5" width="9.625" style="0" customWidth="1"/>
    <col min="6" max="7" width="11.125" style="0" customWidth="1"/>
    <col min="9" max="9" width="9.625" style="0" bestFit="1" customWidth="1"/>
  </cols>
  <sheetData>
    <row r="5" spans="1:6" ht="26.25">
      <c r="A5" s="117" t="s">
        <v>3</v>
      </c>
      <c r="B5" s="117"/>
      <c r="C5" s="117"/>
      <c r="D5" s="117"/>
      <c r="E5" s="117"/>
      <c r="F5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181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spans="2:7" s="2" customFormat="1" ht="12.75">
      <c r="B10" s="21"/>
      <c r="C10" s="21"/>
      <c r="D10" s="21"/>
      <c r="E10" s="21"/>
      <c r="F10" s="21"/>
      <c r="G10" s="21"/>
    </row>
    <row r="11" spans="2:3" s="2" customFormat="1" ht="12.75">
      <c r="B11" s="1"/>
      <c r="C11" s="1"/>
    </row>
    <row r="12" ht="13.5" thickBot="1">
      <c r="G12" t="s">
        <v>180</v>
      </c>
    </row>
    <row r="13" spans="1:8" s="4" customFormat="1" ht="48.75" customHeight="1">
      <c r="A13" s="3" t="s">
        <v>0</v>
      </c>
      <c r="B13" s="17" t="s">
        <v>1</v>
      </c>
      <c r="C13" s="18" t="s">
        <v>28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88</v>
      </c>
    </row>
    <row r="14" spans="1:8" ht="12.75">
      <c r="A14" s="6">
        <v>1</v>
      </c>
      <c r="B14" s="13" t="s">
        <v>12</v>
      </c>
      <c r="C14" s="36">
        <f>323.91425/1.18</f>
        <v>274.50360169491523</v>
      </c>
      <c r="D14" s="44">
        <f>384.41238/1.18</f>
        <v>325.7732033898305</v>
      </c>
      <c r="E14" s="44">
        <f>396.4667/1.18</f>
        <v>335.98872881355936</v>
      </c>
      <c r="F14" s="34">
        <f>396.45844/1.18</f>
        <v>335.98172881355936</v>
      </c>
      <c r="G14" s="34">
        <f>'[8]07.12'!$W$7/1.18/1000</f>
        <v>259.6018389830508</v>
      </c>
      <c r="H14" s="34">
        <f>E14+F14+G14+D14+C14</f>
        <v>1531.8491016949154</v>
      </c>
    </row>
    <row r="15" spans="1:8" ht="25.5">
      <c r="A15" s="6">
        <v>2</v>
      </c>
      <c r="B15" s="20" t="s">
        <v>13</v>
      </c>
      <c r="C15" s="36">
        <f>305014.71/1.18/1000</f>
        <v>258.4870423728814</v>
      </c>
      <c r="D15" s="30">
        <f>319.84481/1.18</f>
        <v>271.05492372881355</v>
      </c>
      <c r="E15" s="44">
        <f>382.63045/1.18</f>
        <v>324.263093220339</v>
      </c>
      <c r="F15" s="30">
        <f>393.93176/1.18</f>
        <v>333.8404745762712</v>
      </c>
      <c r="G15" s="30">
        <f>'[8]07.12'!$X$7/1.18/1000</f>
        <v>327.63322033898305</v>
      </c>
      <c r="H15" s="34">
        <f>E15+F15+G15+D15+C15</f>
        <v>1515.2787542372882</v>
      </c>
    </row>
    <row r="16" spans="1:8" ht="25.5">
      <c r="A16" s="6">
        <v>3</v>
      </c>
      <c r="B16" s="20" t="s">
        <v>149</v>
      </c>
      <c r="C16" s="33">
        <f>(C14-C15)*1.18</f>
        <v>18.89953999999995</v>
      </c>
      <c r="D16" s="30">
        <f>(D14-D15)*1.18+C16</f>
        <v>83.46710999999992</v>
      </c>
      <c r="E16" s="30">
        <f>(E14-E15)*1.18+D16</f>
        <v>97.30335999999996</v>
      </c>
      <c r="F16" s="30">
        <f>(F14-F15)*1.18+E16</f>
        <v>99.83003999999995</v>
      </c>
      <c r="G16" s="30">
        <f>(G14-G15)*1.18+F16+G17</f>
        <v>19.553009999999915</v>
      </c>
      <c r="H16" s="30">
        <f>(H14-H15)*1.18</f>
        <v>19.553010000000004</v>
      </c>
    </row>
    <row r="17" spans="1:8" ht="12.75">
      <c r="A17" s="6"/>
      <c r="B17" s="12"/>
      <c r="C17" s="19"/>
      <c r="D17" s="19"/>
      <c r="E17" s="19"/>
      <c r="F17" s="23"/>
      <c r="G17" s="42"/>
      <c r="H17" s="42"/>
    </row>
    <row r="18" spans="1:17" ht="31.5" customHeight="1">
      <c r="A18" s="6">
        <v>4</v>
      </c>
      <c r="B18" s="20" t="s">
        <v>2</v>
      </c>
      <c r="C18" s="30">
        <f>SUM(C19:C25)</f>
        <v>357.4406107081173</v>
      </c>
      <c r="D18" s="30">
        <f>SUM(D19:D25)</f>
        <v>294.4107369654746</v>
      </c>
      <c r="E18" s="30">
        <f>SUM(E19:E25)</f>
        <v>484.8657172304156</v>
      </c>
      <c r="F18" s="30">
        <f>SUM(F19:F25)</f>
        <v>340.79664333896704</v>
      </c>
      <c r="G18" s="30">
        <f>SUM(G19:G25)</f>
        <v>371.9446177082556</v>
      </c>
      <c r="H18" s="34">
        <f>E18+F18+G18+D18+C18</f>
        <v>1849.4583259512299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1:8" ht="12.75">
      <c r="A19" s="29" t="s">
        <v>14</v>
      </c>
      <c r="B19" s="12" t="s">
        <v>4</v>
      </c>
      <c r="C19" s="30">
        <f>'[2]кв.1д5'!$AT$44</f>
        <v>60.32418</v>
      </c>
      <c r="D19" s="30">
        <f>'[3]кв.1д5'!$AT$44</f>
        <v>10.1993</v>
      </c>
      <c r="E19" s="30">
        <f>'[4]кв.1д5'!$AT$45</f>
        <v>76.2041971222</v>
      </c>
      <c r="F19" s="40">
        <f>'[1]кв.1д5'!$AT$45</f>
        <v>25.326257</v>
      </c>
      <c r="G19" s="40">
        <f>'[5]кв.1д5'!$AT$45</f>
        <v>5.191459999999999</v>
      </c>
      <c r="H19" s="34">
        <f aca="true" t="shared" si="0" ref="H19:H24">E19+F19+G19+D19+C19</f>
        <v>177.24539412219997</v>
      </c>
    </row>
    <row r="20" spans="1:8" ht="12.75">
      <c r="A20" s="29" t="s">
        <v>15</v>
      </c>
      <c r="B20" s="12" t="s">
        <v>19</v>
      </c>
      <c r="C20" s="30">
        <f>'[2]кв.1д5'!$AT$51+'[2]кв.1д5'!$AT$55</f>
        <v>174.1384930906</v>
      </c>
      <c r="D20" s="30">
        <f>'[3]кв.1д5'!$AT$51+'[3]кв.1д5'!$AT$55</f>
        <v>135.43376079450002</v>
      </c>
      <c r="E20" s="28">
        <f>'[4]кв.1д5'!$AT$54+'[4]кв.1д5'!$AT$58</f>
        <v>258.245946146139</v>
      </c>
      <c r="F20" s="30">
        <f>'[1]кв.1д5'!$AT$54+'[1]кв.1д5'!$AT$58</f>
        <v>180.3052080202765</v>
      </c>
      <c r="G20" s="30">
        <f>'[5]кв.1д5'!$AT$54+'[5]кв.1д5'!$AT$58</f>
        <v>240.81718865607112</v>
      </c>
      <c r="H20" s="34">
        <f t="shared" si="0"/>
        <v>988.9405967075867</v>
      </c>
    </row>
    <row r="21" spans="1:8" ht="12.75">
      <c r="A21" s="29" t="s">
        <v>16</v>
      </c>
      <c r="B21" s="12" t="s">
        <v>5</v>
      </c>
      <c r="C21" s="30">
        <f>'[2]кв.1д5'!$AT$83</f>
        <v>42.326190000000004</v>
      </c>
      <c r="D21" s="30">
        <f>'[3]кв.1д5'!$AT$83</f>
        <v>17.80552</v>
      </c>
      <c r="E21" s="30">
        <f>'[4]кв.1д5'!$AT$81</f>
        <v>53.380475041424205</v>
      </c>
      <c r="F21" s="30">
        <f>'[1]кв.1д5'!$AT$81</f>
        <v>59.3085147</v>
      </c>
      <c r="G21" s="30">
        <f>'[5]кв.1д5'!$AT$81</f>
        <v>44.449079999999995</v>
      </c>
      <c r="H21" s="34">
        <f t="shared" si="0"/>
        <v>217.2697797414242</v>
      </c>
    </row>
    <row r="22" spans="1:8" ht="12.75">
      <c r="A22" s="29" t="s">
        <v>17</v>
      </c>
      <c r="B22" s="12" t="s">
        <v>6</v>
      </c>
      <c r="C22" s="30">
        <f>'[2]кв.1д5'!$AT$84</f>
        <v>10.151</v>
      </c>
      <c r="D22" s="30">
        <f>'[3]кв.1д5'!$AT$84</f>
        <v>57.560405440000004</v>
      </c>
      <c r="E22" s="30">
        <f>'[4]кв.1д5'!$AT$83</f>
        <v>11.719397299999997</v>
      </c>
      <c r="F22" s="30">
        <f>'[1]кв.1д5'!$AT$83</f>
        <v>4.352612343267602</v>
      </c>
      <c r="G22" s="30">
        <f>'[5]кв.1д5'!$AT$83</f>
        <v>12.624765622229667</v>
      </c>
      <c r="H22" s="34">
        <f t="shared" si="0"/>
        <v>96.40818070549726</v>
      </c>
    </row>
    <row r="23" spans="1:8" ht="12.75">
      <c r="A23" s="29" t="s">
        <v>18</v>
      </c>
      <c r="B23" s="12" t="s">
        <v>7</v>
      </c>
      <c r="C23" s="30">
        <f>'[2]кв.1д5'!$AT$124</f>
        <v>29.32520736328</v>
      </c>
      <c r="D23" s="30">
        <f>'[3]кв.1д5'!$AT$124</f>
        <v>22.3281402225</v>
      </c>
      <c r="E23" s="30">
        <f>'[4]кв.1д5'!$AT$123</f>
        <v>34.67014622084076</v>
      </c>
      <c r="F23" s="30">
        <f>'[1]кв.1д5'!$AT$123</f>
        <v>20.896000953389077</v>
      </c>
      <c r="G23" s="30">
        <f>'[5]кв.1д5'!$AT$123</f>
        <v>29.431147133779184</v>
      </c>
      <c r="H23" s="34">
        <f t="shared" si="0"/>
        <v>136.65064189378904</v>
      </c>
    </row>
    <row r="24" spans="1:8" ht="12.75">
      <c r="A24" s="29" t="s">
        <v>20</v>
      </c>
      <c r="B24" s="41" t="s">
        <v>24</v>
      </c>
      <c r="C24" s="30"/>
      <c r="D24" s="30">
        <f>'[3]кв.1д5'!$AT$82</f>
        <v>2.21763</v>
      </c>
      <c r="E24" s="30">
        <f>'[4]кв.1д5'!$AT$78+'[4]кв.1д5'!$AT$75+'[4]кв.1д5'!$AT$68+'[4]кв.1д5'!$AT$63</f>
        <v>0.2472460777777778</v>
      </c>
      <c r="F24" s="30">
        <f>'[1]кв.1д5'!$AT$79+'[1]кв.1д5'!$AT$78+'[1]кв.1д5'!$AT$68</f>
        <v>0.210791</v>
      </c>
      <c r="G24" s="30">
        <f>'[5]кв.1д5'!$AT$66-'[5]кв.1д5'!$AT$81</f>
        <v>0.49070044871795204</v>
      </c>
      <c r="H24" s="34">
        <f t="shared" si="0"/>
        <v>3.16636752649573</v>
      </c>
    </row>
    <row r="25" spans="1:8" ht="13.5" thickBot="1">
      <c r="A25" s="29" t="s">
        <v>86</v>
      </c>
      <c r="B25" s="24" t="s">
        <v>87</v>
      </c>
      <c r="C25" s="30">
        <f aca="true" t="shared" si="1" ref="C25:H25">C14*15%</f>
        <v>41.17554025423728</v>
      </c>
      <c r="D25" s="30">
        <f t="shared" si="1"/>
        <v>48.86598050847457</v>
      </c>
      <c r="E25" s="30">
        <f t="shared" si="1"/>
        <v>50.3983093220339</v>
      </c>
      <c r="F25" s="30">
        <f t="shared" si="1"/>
        <v>50.397259322033904</v>
      </c>
      <c r="G25" s="30">
        <f t="shared" si="1"/>
        <v>38.94027584745762</v>
      </c>
      <c r="H25" s="30">
        <f t="shared" si="1"/>
        <v>229.7773652542373</v>
      </c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7" ht="12.75">
      <c r="A27" s="9"/>
      <c r="B27" s="9"/>
      <c r="C27" s="9"/>
      <c r="D27" s="9"/>
      <c r="E27" s="9"/>
      <c r="F27" s="9"/>
      <c r="G27" s="9"/>
    </row>
    <row r="28" spans="1:8" ht="16.5">
      <c r="A28" s="9"/>
      <c r="B28" s="55" t="s">
        <v>63</v>
      </c>
      <c r="C28" s="55"/>
      <c r="D28" s="55"/>
      <c r="E28" s="55"/>
      <c r="F28" s="55"/>
      <c r="G28" s="55"/>
      <c r="H28" s="55"/>
    </row>
    <row r="29" spans="1:7" ht="20.25" customHeight="1">
      <c r="A29" s="9"/>
      <c r="B29" s="62" t="s">
        <v>65</v>
      </c>
      <c r="C29" s="125" t="s">
        <v>66</v>
      </c>
      <c r="D29" s="125"/>
      <c r="E29" s="125"/>
      <c r="F29" s="125"/>
      <c r="G29" s="62" t="s">
        <v>67</v>
      </c>
    </row>
    <row r="30" spans="1:7" ht="18" customHeight="1">
      <c r="A30" s="9"/>
      <c r="B30" s="51" t="s">
        <v>60</v>
      </c>
      <c r="C30" s="123" t="s">
        <v>70</v>
      </c>
      <c r="D30" s="123"/>
      <c r="E30" s="123"/>
      <c r="F30" s="123"/>
      <c r="G30" s="63">
        <v>0.30815</v>
      </c>
    </row>
    <row r="31" spans="1:9" ht="12.75">
      <c r="A31" s="9"/>
      <c r="B31" s="52" t="s">
        <v>176</v>
      </c>
      <c r="C31" s="126" t="s">
        <v>177</v>
      </c>
      <c r="D31" s="127"/>
      <c r="E31" s="127"/>
      <c r="F31" s="128"/>
      <c r="G31" s="53">
        <v>2.40984</v>
      </c>
      <c r="I31" s="5"/>
    </row>
    <row r="32" spans="1:9" ht="12.75">
      <c r="A32" s="9"/>
      <c r="B32" s="52" t="s">
        <v>176</v>
      </c>
      <c r="C32" s="126" t="s">
        <v>178</v>
      </c>
      <c r="D32" s="127"/>
      <c r="E32" s="127"/>
      <c r="F32" s="128"/>
      <c r="G32" s="53">
        <v>0.81405</v>
      </c>
      <c r="I32" s="5"/>
    </row>
    <row r="33" spans="1:9" ht="12.75">
      <c r="A33" s="9"/>
      <c r="B33" s="52" t="s">
        <v>176</v>
      </c>
      <c r="C33" s="126" t="s">
        <v>179</v>
      </c>
      <c r="D33" s="127"/>
      <c r="E33" s="127"/>
      <c r="F33" s="128"/>
      <c r="G33" s="53">
        <f>1.46174+0.19768</f>
        <v>1.6594200000000001</v>
      </c>
      <c r="I33" s="5"/>
    </row>
    <row r="34" spans="1:9" s="2" customFormat="1" ht="12.75">
      <c r="A34" s="15"/>
      <c r="B34" s="52"/>
      <c r="C34" s="124" t="s">
        <v>64</v>
      </c>
      <c r="D34" s="124"/>
      <c r="E34" s="124"/>
      <c r="F34" s="124"/>
      <c r="G34" s="54">
        <f>SUM(G30:G33)</f>
        <v>5.19146</v>
      </c>
      <c r="H34" s="109"/>
      <c r="I34" s="7"/>
    </row>
    <row r="35" spans="8:9" s="9" customFormat="1" ht="12.75">
      <c r="H35"/>
      <c r="I35" s="7"/>
    </row>
    <row r="36" spans="8:9" s="9" customFormat="1" ht="12.75">
      <c r="H36"/>
      <c r="I36" s="7"/>
    </row>
    <row r="37" spans="8:9" s="9" customFormat="1" ht="12.75">
      <c r="H37"/>
      <c r="I37" s="7"/>
    </row>
    <row r="38" spans="8:9" s="9" customFormat="1" ht="12.75">
      <c r="H38"/>
      <c r="I38" s="7"/>
    </row>
    <row r="39" spans="8:9" s="9" customFormat="1" ht="12.75">
      <c r="H39"/>
      <c r="I39" s="7"/>
    </row>
    <row r="40" spans="8:9" s="9" customFormat="1" ht="12.75">
      <c r="H40"/>
      <c r="I40" s="7"/>
    </row>
    <row r="41" spans="2:9" s="9" customFormat="1" ht="38.25">
      <c r="B41" s="31" t="s">
        <v>22</v>
      </c>
      <c r="C41" s="31"/>
      <c r="D41" s="31"/>
      <c r="G41" s="15" t="s">
        <v>148</v>
      </c>
      <c r="H41"/>
      <c r="I41" s="7"/>
    </row>
    <row r="42" spans="1:7" ht="12.75">
      <c r="A42" s="9"/>
      <c r="G42" s="15"/>
    </row>
    <row r="43" spans="2:8" s="9" customFormat="1" ht="12.75">
      <c r="B43" s="15"/>
      <c r="C43" s="15"/>
      <c r="D43" s="15"/>
      <c r="E43" s="15"/>
      <c r="H43"/>
    </row>
    <row r="44" spans="2:8" s="9" customFormat="1" ht="12.75">
      <c r="B44" s="15" t="s">
        <v>9</v>
      </c>
      <c r="C44" s="15"/>
      <c r="D44" s="15"/>
      <c r="E44"/>
      <c r="G44" s="15" t="s">
        <v>197</v>
      </c>
      <c r="H44" s="1"/>
    </row>
    <row r="45" spans="2:8" s="9" customFormat="1" ht="12.75">
      <c r="B45" s="15"/>
      <c r="C45" s="15"/>
      <c r="D45" s="15"/>
      <c r="E45" s="15"/>
      <c r="F45" s="15"/>
      <c r="G45" s="15"/>
      <c r="H45" s="1"/>
    </row>
    <row r="46" s="9" customFormat="1" ht="12.75">
      <c r="H46" s="8"/>
    </row>
    <row r="47" s="9" customFormat="1" ht="12.75">
      <c r="H47" s="8"/>
    </row>
    <row r="48" s="9" customFormat="1" ht="12.75">
      <c r="H48"/>
    </row>
    <row r="49" s="9" customFormat="1" ht="12.75"/>
    <row r="50" s="9" customFormat="1" ht="12.75"/>
    <row r="51" spans="2:4" s="9" customFormat="1" ht="12.75">
      <c r="B51" s="11" t="s">
        <v>11</v>
      </c>
      <c r="C51" s="11"/>
      <c r="D51" s="11"/>
    </row>
    <row r="52" s="9" customFormat="1" ht="12.75">
      <c r="B52" s="9" t="s">
        <v>21</v>
      </c>
    </row>
    <row r="53" s="9" customFormat="1" ht="12.75">
      <c r="B53" s="9" t="s">
        <v>90</v>
      </c>
    </row>
    <row r="54" s="9" customFormat="1" ht="12.75"/>
    <row r="55" s="9" customFormat="1" ht="12.75"/>
    <row r="56" spans="2:8" ht="12.75">
      <c r="B56" s="9"/>
      <c r="C56" s="9"/>
      <c r="D56" s="9"/>
      <c r="E56" s="9"/>
      <c r="F56" s="9"/>
      <c r="G56" s="9"/>
      <c r="H56" s="9"/>
    </row>
    <row r="57" spans="2:8" ht="12.75">
      <c r="B57" s="9"/>
      <c r="C57" s="9"/>
      <c r="D57" s="9"/>
      <c r="E57" s="9"/>
      <c r="F57" s="9"/>
      <c r="G57" s="9"/>
      <c r="H57" s="9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9"/>
      <c r="D60" s="9"/>
      <c r="E60" s="9"/>
      <c r="F60" s="9"/>
      <c r="G60" s="9"/>
      <c r="H60" s="9"/>
    </row>
    <row r="61" spans="2:8" ht="12.75">
      <c r="B61" s="9"/>
      <c r="C61" s="9"/>
      <c r="D61" s="9"/>
      <c r="E61" s="9"/>
      <c r="F61" s="9"/>
      <c r="G61" s="9"/>
      <c r="H61" s="9"/>
    </row>
  </sheetData>
  <sheetProtection/>
  <mergeCells count="9">
    <mergeCell ref="C31:F31"/>
    <mergeCell ref="C34:F34"/>
    <mergeCell ref="A5:F5"/>
    <mergeCell ref="B7:F7"/>
    <mergeCell ref="A8:F8"/>
    <mergeCell ref="C29:F29"/>
    <mergeCell ref="C30:F30"/>
    <mergeCell ref="C32:F32"/>
    <mergeCell ref="C33:F33"/>
  </mergeCells>
  <printOptions/>
  <pageMargins left="0.61" right="0" top="0.984251968503937" bottom="0.984251968503937" header="0.5118110236220472" footer="0.5118110236220472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9.625" style="0" customWidth="1"/>
    <col min="4" max="5" width="11.125" style="0" customWidth="1"/>
    <col min="7" max="7" width="9.625" style="0" bestFit="1" customWidth="1"/>
  </cols>
  <sheetData>
    <row r="1" spans="1:9" ht="26.25">
      <c r="A1" s="117" t="s">
        <v>3</v>
      </c>
      <c r="B1" s="117"/>
      <c r="C1" s="117"/>
      <c r="D1" s="117"/>
      <c r="E1" s="117"/>
      <c r="F1" s="117"/>
      <c r="G1" s="117"/>
      <c r="H1" s="117"/>
      <c r="I1" s="117"/>
    </row>
    <row r="3" spans="1:9" s="2" customFormat="1" ht="15.75">
      <c r="A3" s="118" t="s">
        <v>23</v>
      </c>
      <c r="B3" s="118"/>
      <c r="C3" s="118"/>
      <c r="D3" s="118"/>
      <c r="E3" s="118"/>
      <c r="F3" s="118"/>
      <c r="G3" s="118"/>
      <c r="H3" s="118"/>
      <c r="I3" s="118"/>
    </row>
    <row r="4" spans="1:9" s="2" customFormat="1" ht="15.75">
      <c r="A4" s="118" t="s">
        <v>202</v>
      </c>
      <c r="B4" s="118"/>
      <c r="C4" s="118"/>
      <c r="D4" s="118"/>
      <c r="E4" s="118"/>
      <c r="F4" s="118"/>
      <c r="G4" s="118"/>
      <c r="H4" s="118"/>
      <c r="I4" s="118"/>
    </row>
    <row r="5" ht="13.5" thickBot="1">
      <c r="E5" t="s">
        <v>192</v>
      </c>
    </row>
    <row r="6" spans="1:11" s="4" customFormat="1" ht="48.75" customHeight="1">
      <c r="A6" s="3" t="s">
        <v>0</v>
      </c>
      <c r="B6" s="17" t="s">
        <v>1</v>
      </c>
      <c r="C6" s="18" t="s">
        <v>33</v>
      </c>
      <c r="D6" s="18" t="s">
        <v>39</v>
      </c>
      <c r="E6" s="18" t="s">
        <v>52</v>
      </c>
      <c r="F6" s="18" t="s">
        <v>154</v>
      </c>
      <c r="G6" s="18" t="s">
        <v>150</v>
      </c>
      <c r="H6" s="18" t="s">
        <v>151</v>
      </c>
      <c r="I6" s="18" t="s">
        <v>152</v>
      </c>
      <c r="J6" s="18" t="s">
        <v>155</v>
      </c>
      <c r="K6" s="18" t="s">
        <v>88</v>
      </c>
    </row>
    <row r="7" spans="1:11" ht="38.25">
      <c r="A7" s="6">
        <v>1</v>
      </c>
      <c r="B7" s="20" t="s">
        <v>193</v>
      </c>
      <c r="C7" s="44">
        <f>144.1528/1.18</f>
        <v>122.16338983050849</v>
      </c>
      <c r="D7" s="34">
        <f>432.40992/1.18</f>
        <v>366.4490847457627</v>
      </c>
      <c r="E7" s="34">
        <f>'[8]07.12'!$W$8/1.18/1000</f>
        <v>438.21767796610163</v>
      </c>
      <c r="F7" s="34">
        <f>C7+D7+E7</f>
        <v>926.8301525423728</v>
      </c>
      <c r="G7" s="34">
        <f>'почта муз кв1д7'!B14/1.18</f>
        <v>72.38241525423729</v>
      </c>
      <c r="H7" s="34">
        <f>'почта муз кв1д7'!B21/1.18</f>
        <v>9.502144067796612</v>
      </c>
      <c r="I7" s="34">
        <f>'почта муз кв1д7'!B26/1.18</f>
        <v>7.361118644067798</v>
      </c>
      <c r="J7" s="34">
        <f>I7+H7+G7</f>
        <v>89.2456779661017</v>
      </c>
      <c r="K7" s="34">
        <f>J7+F7</f>
        <v>1016.0758305084745</v>
      </c>
    </row>
    <row r="8" spans="1:11" ht="42.75" customHeight="1">
      <c r="A8" s="6">
        <v>2</v>
      </c>
      <c r="B8" s="20" t="s">
        <v>199</v>
      </c>
      <c r="C8" s="44">
        <f>59.91735/1.18</f>
        <v>50.77741525423729</v>
      </c>
      <c r="D8" s="30">
        <f>472.90861/1.18</f>
        <v>400.7700084745763</v>
      </c>
      <c r="E8" s="30">
        <f>'[8]07.12'!$X$8/1.18/1000</f>
        <v>426.5441610169491</v>
      </c>
      <c r="F8" s="34">
        <f>C8+D8+E8</f>
        <v>878.0915847457627</v>
      </c>
      <c r="G8" s="34">
        <f>'почта муз кв1д7'!C14/1.18</f>
        <v>64.54697457627118</v>
      </c>
      <c r="H8" s="34">
        <f>'почта муз кв1д7'!C21/1.18</f>
        <v>6.334762711864408</v>
      </c>
      <c r="I8" s="34">
        <f>'почта муз кв1д7'!C26/1.18</f>
        <v>7.361118644067798</v>
      </c>
      <c r="J8" s="34">
        <f>I8+H8+G8</f>
        <v>78.24285593220338</v>
      </c>
      <c r="K8" s="34">
        <f>J8+F8</f>
        <v>956.3344406779661</v>
      </c>
    </row>
    <row r="9" spans="1:11" ht="37.5" customHeight="1">
      <c r="A9" s="6">
        <v>3</v>
      </c>
      <c r="B9" s="20" t="s">
        <v>194</v>
      </c>
      <c r="C9" s="33">
        <f>(C7-C8)*1.18</f>
        <v>84.23545</v>
      </c>
      <c r="D9" s="30">
        <f>(D7-D8)*1.18+C9</f>
        <v>43.73675999999999</v>
      </c>
      <c r="E9" s="30">
        <f>(E7-E8)*1.18+D9+E10</f>
        <v>57.51150999999999</v>
      </c>
      <c r="F9" s="30">
        <f>(F7-F8)*1.18</f>
        <v>57.511509999999966</v>
      </c>
      <c r="G9" s="30">
        <f>(G7-G8)*1.18</f>
        <v>9.245820000000004</v>
      </c>
      <c r="H9" s="30">
        <f>(H7-H8)*1.18</f>
        <v>3.7375100000000008</v>
      </c>
      <c r="I9" s="30">
        <f>(I7-I8)*1.18</f>
        <v>0</v>
      </c>
      <c r="J9" s="30">
        <f>I9+H9+G9</f>
        <v>12.983330000000004</v>
      </c>
      <c r="K9" s="30">
        <f>J9+F9</f>
        <v>70.49483999999997</v>
      </c>
    </row>
    <row r="10" spans="1:11" ht="12.75">
      <c r="A10" s="6"/>
      <c r="B10" s="12"/>
      <c r="C10" s="19"/>
      <c r="D10" s="23"/>
      <c r="E10" s="69"/>
      <c r="F10" s="52"/>
      <c r="G10" s="52"/>
      <c r="H10" s="52"/>
      <c r="I10" s="52"/>
      <c r="J10" s="52"/>
      <c r="K10" s="52"/>
    </row>
    <row r="11" spans="1:15" ht="31.5" customHeight="1">
      <c r="A11" s="6">
        <v>4</v>
      </c>
      <c r="B11" s="20" t="s">
        <v>2</v>
      </c>
      <c r="C11" s="30">
        <f>SUM(C12:C18)</f>
        <v>90.52110218309798</v>
      </c>
      <c r="D11" s="30">
        <f>SUM(D12:D18)</f>
        <v>432.0445633893867</v>
      </c>
      <c r="E11" s="70">
        <f>SUM(E12:E18)</f>
        <v>545.350092238839</v>
      </c>
      <c r="F11" s="30">
        <f aca="true" t="shared" si="0" ref="F11:F17">E11+D11+C11</f>
        <v>1067.9157578113238</v>
      </c>
      <c r="G11" s="30"/>
      <c r="H11" s="30"/>
      <c r="I11" s="30"/>
      <c r="J11" s="30"/>
      <c r="K11" s="30">
        <f>F11</f>
        <v>1067.9157578113238</v>
      </c>
      <c r="L11" s="68"/>
      <c r="M11" s="68"/>
      <c r="N11" s="68"/>
      <c r="O11" s="68"/>
    </row>
    <row r="12" spans="1:11" ht="12.75">
      <c r="A12" s="29" t="s">
        <v>14</v>
      </c>
      <c r="B12" s="12" t="s">
        <v>4</v>
      </c>
      <c r="C12" s="30">
        <f>'[4]кв.1д7'!$AT$45</f>
        <v>6.247227122200003</v>
      </c>
      <c r="D12" s="40">
        <f>'[1]кв.1д7'!$AT$45</f>
        <v>75.27229700000001</v>
      </c>
      <c r="E12" s="40">
        <f>'[5]кв.1д7'!$AT$45</f>
        <v>22.39418</v>
      </c>
      <c r="F12" s="30">
        <f t="shared" si="0"/>
        <v>103.91370412220002</v>
      </c>
      <c r="G12" s="30"/>
      <c r="H12" s="30"/>
      <c r="I12" s="30"/>
      <c r="J12" s="30"/>
      <c r="K12" s="30">
        <f aca="true" t="shared" si="1" ref="K12:K18">F12</f>
        <v>103.91370412220002</v>
      </c>
    </row>
    <row r="13" spans="1:11" ht="12.75">
      <c r="A13" s="29" t="s">
        <v>15</v>
      </c>
      <c r="B13" s="12" t="s">
        <v>19</v>
      </c>
      <c r="C13" s="28">
        <f>'[4]кв.1д7'!$AT$54+'[4]кв.1д7'!$AT$58</f>
        <v>42.27152377915332</v>
      </c>
      <c r="D13" s="30">
        <f>'[1]кв.1д7'!$AT$54+'[1]кв.1д7'!$AT$58</f>
        <v>212.9514238145801</v>
      </c>
      <c r="E13" s="30">
        <f>'[5]кв.1д7'!$AT$54+'[5]кв.1д7'!$AT$58</f>
        <v>340.573766058479</v>
      </c>
      <c r="F13" s="30">
        <f t="shared" si="0"/>
        <v>595.7967136522125</v>
      </c>
      <c r="G13" s="30"/>
      <c r="H13" s="30"/>
      <c r="I13" s="30"/>
      <c r="J13" s="30"/>
      <c r="K13" s="30">
        <f t="shared" si="1"/>
        <v>595.7967136522125</v>
      </c>
    </row>
    <row r="14" spans="1:11" ht="12.75">
      <c r="A14" s="29" t="s">
        <v>16</v>
      </c>
      <c r="B14" s="12" t="s">
        <v>5</v>
      </c>
      <c r="C14" s="30">
        <f>'[4]кв.1д7'!$AT$81</f>
        <v>17.747530887174328</v>
      </c>
      <c r="D14" s="30">
        <f>'[1]кв.1д7'!$AT$81</f>
        <v>58.97203562484473</v>
      </c>
      <c r="E14" s="30">
        <f>'[5]кв.1д7'!$AT$81</f>
        <v>63.008125500000006</v>
      </c>
      <c r="F14" s="30">
        <f t="shared" si="0"/>
        <v>139.72769201201905</v>
      </c>
      <c r="G14" s="30"/>
      <c r="H14" s="30"/>
      <c r="I14" s="30"/>
      <c r="J14" s="30"/>
      <c r="K14" s="30">
        <f t="shared" si="1"/>
        <v>139.72769201201905</v>
      </c>
    </row>
    <row r="15" spans="1:11" ht="12.75">
      <c r="A15" s="29" t="s">
        <v>17</v>
      </c>
      <c r="B15" s="12" t="s">
        <v>6</v>
      </c>
      <c r="C15" s="30">
        <f>'[4]кв.1д7'!$AT$83</f>
        <v>0.28859999999999975</v>
      </c>
      <c r="D15" s="30">
        <f>'[1]кв.1д7'!$AT$83</f>
        <v>2.8330966103427935</v>
      </c>
      <c r="E15" s="30">
        <f>'[5]кв.1д7'!$AT$83</f>
        <v>17.40241039146345</v>
      </c>
      <c r="F15" s="30">
        <f t="shared" si="0"/>
        <v>20.524107001806243</v>
      </c>
      <c r="G15" s="30"/>
      <c r="H15" s="30"/>
      <c r="I15" s="30"/>
      <c r="J15" s="30"/>
      <c r="K15" s="30">
        <f t="shared" si="1"/>
        <v>20.524107001806243</v>
      </c>
    </row>
    <row r="16" spans="1:11" ht="12.75">
      <c r="A16" s="29" t="s">
        <v>18</v>
      </c>
      <c r="B16" s="12" t="s">
        <v>7</v>
      </c>
      <c r="C16" s="30">
        <f>'[4]кв.1д7'!$AT$123</f>
        <v>5.465165842216273</v>
      </c>
      <c r="D16" s="30">
        <f>'[1]кв.1д7'!$AT$123</f>
        <v>26.8375566277547</v>
      </c>
      <c r="E16" s="30">
        <f>'[5]кв.1д7'!$AT$123</f>
        <v>35.748258145263385</v>
      </c>
      <c r="F16" s="30">
        <f t="shared" si="0"/>
        <v>68.05098061523437</v>
      </c>
      <c r="G16" s="30"/>
      <c r="H16" s="30"/>
      <c r="I16" s="30"/>
      <c r="J16" s="30"/>
      <c r="K16" s="30">
        <f t="shared" si="1"/>
        <v>68.05098061523437</v>
      </c>
    </row>
    <row r="17" spans="1:11" ht="12.75">
      <c r="A17" s="29" t="s">
        <v>20</v>
      </c>
      <c r="B17" s="41" t="s">
        <v>24</v>
      </c>
      <c r="C17" s="30">
        <f>'[4]кв.1д7'!$AT$78+'[4]кв.1д7'!$AT$75+'[4]кв.1д7'!$AT$68+'[4]кв.1д7'!$AT$63</f>
        <v>0.17654607777777778</v>
      </c>
      <c r="D17" s="30">
        <f>'[1]кв.1д7'!$AT$79+'[1]кв.1д7'!$AT$78+'[1]кв.1д7'!$AT$68</f>
        <v>0.210791</v>
      </c>
      <c r="E17" s="30">
        <f>'[5]кв.1д7'!$AT$66-'[5]кв.1д7'!$AT$81</f>
        <v>0.49070044871794494</v>
      </c>
      <c r="F17" s="30">
        <f t="shared" si="0"/>
        <v>0.8780375264957226</v>
      </c>
      <c r="G17" s="30"/>
      <c r="H17" s="30"/>
      <c r="I17" s="30"/>
      <c r="J17" s="30"/>
      <c r="K17" s="30">
        <f t="shared" si="1"/>
        <v>0.8780375264957226</v>
      </c>
    </row>
    <row r="18" spans="1:11" ht="39" thickBot="1">
      <c r="A18" s="84" t="s">
        <v>86</v>
      </c>
      <c r="B18" s="83" t="s">
        <v>87</v>
      </c>
      <c r="C18" s="85">
        <f>C7*15%</f>
        <v>18.324508474576273</v>
      </c>
      <c r="D18" s="85">
        <f>D7*15%</f>
        <v>54.9673627118644</v>
      </c>
      <c r="E18" s="85">
        <f>E7*15%</f>
        <v>65.73265169491525</v>
      </c>
      <c r="F18" s="85">
        <f>F7*15%</f>
        <v>139.02452288135592</v>
      </c>
      <c r="G18" s="85"/>
      <c r="H18" s="85"/>
      <c r="I18" s="85"/>
      <c r="J18" s="85"/>
      <c r="K18" s="30">
        <f t="shared" si="1"/>
        <v>139.02452288135592</v>
      </c>
    </row>
    <row r="19" spans="1:5" ht="12.75">
      <c r="A19" s="9"/>
      <c r="B19" s="9"/>
      <c r="C19" s="9"/>
      <c r="D19" s="9"/>
      <c r="E19" s="9"/>
    </row>
    <row r="20" spans="1:11" ht="12.75">
      <c r="A20" s="9"/>
      <c r="B20" s="9"/>
      <c r="C20" s="9"/>
      <c r="D20" s="9"/>
      <c r="E20" s="9"/>
      <c r="K20" s="109"/>
    </row>
    <row r="21" spans="1:5" ht="16.5">
      <c r="A21" s="55" t="s">
        <v>63</v>
      </c>
      <c r="B21" s="55"/>
      <c r="C21" s="55"/>
      <c r="D21" s="55"/>
      <c r="E21" s="55"/>
    </row>
    <row r="22" spans="2:6" ht="24.75" customHeight="1">
      <c r="B22" s="64" t="s">
        <v>65</v>
      </c>
      <c r="C22" s="130" t="s">
        <v>66</v>
      </c>
      <c r="D22" s="131"/>
      <c r="E22" s="132"/>
      <c r="F22" s="62" t="s">
        <v>67</v>
      </c>
    </row>
    <row r="23" spans="2:6" ht="14.25" customHeight="1">
      <c r="B23" s="51" t="s">
        <v>60</v>
      </c>
      <c r="C23" s="56" t="s">
        <v>70</v>
      </c>
      <c r="D23" s="57"/>
      <c r="E23" s="57"/>
      <c r="F23" s="81">
        <v>1.97022</v>
      </c>
    </row>
    <row r="24" spans="2:6" ht="15" customHeight="1">
      <c r="B24" s="51" t="s">
        <v>60</v>
      </c>
      <c r="C24" s="56" t="s">
        <v>71</v>
      </c>
      <c r="D24" s="57"/>
      <c r="E24" s="58"/>
      <c r="F24" s="81">
        <v>1.0678</v>
      </c>
    </row>
    <row r="25" spans="2:6" ht="13.5" customHeight="1">
      <c r="B25" s="51" t="s">
        <v>68</v>
      </c>
      <c r="C25" s="56" t="s">
        <v>72</v>
      </c>
      <c r="D25" s="57"/>
      <c r="E25" s="58"/>
      <c r="F25" s="81">
        <v>0.3339</v>
      </c>
    </row>
    <row r="26" spans="2:6" ht="14.25" customHeight="1">
      <c r="B26" s="51" t="s">
        <v>109</v>
      </c>
      <c r="C26" s="56" t="s">
        <v>110</v>
      </c>
      <c r="D26" s="57"/>
      <c r="E26" s="57"/>
      <c r="F26" s="81">
        <v>0.68892</v>
      </c>
    </row>
    <row r="27" spans="2:6" ht="14.25" customHeight="1">
      <c r="B27" s="51" t="s">
        <v>109</v>
      </c>
      <c r="C27" s="56" t="s">
        <v>126</v>
      </c>
      <c r="D27" s="57"/>
      <c r="E27" s="57"/>
      <c r="F27" s="81">
        <f>2.95517-F26</f>
        <v>2.26625</v>
      </c>
    </row>
    <row r="28" spans="1:6" ht="12.75">
      <c r="A28" s="9" t="s">
        <v>139</v>
      </c>
      <c r="B28" s="52" t="s">
        <v>146</v>
      </c>
      <c r="C28" s="60" t="s">
        <v>133</v>
      </c>
      <c r="D28" s="61"/>
      <c r="E28" s="61"/>
      <c r="F28" s="82">
        <v>0.19</v>
      </c>
    </row>
    <row r="29" spans="2:6" ht="15" customHeight="1">
      <c r="B29" s="51" t="s">
        <v>145</v>
      </c>
      <c r="C29" s="56" t="s">
        <v>147</v>
      </c>
      <c r="D29" s="57"/>
      <c r="E29" s="57"/>
      <c r="F29" s="63">
        <v>5.23887</v>
      </c>
    </row>
    <row r="30" spans="2:6" ht="13.5" customHeight="1">
      <c r="B30" s="51"/>
      <c r="C30" s="56"/>
      <c r="D30" s="57"/>
      <c r="E30" s="57"/>
      <c r="F30" s="63"/>
    </row>
    <row r="31" spans="2:6" ht="16.5" customHeight="1">
      <c r="B31" s="51"/>
      <c r="C31" s="56"/>
      <c r="D31" s="57"/>
      <c r="E31" s="57"/>
      <c r="F31" s="63"/>
    </row>
    <row r="32" spans="2:7" s="2" customFormat="1" ht="12.75">
      <c r="B32" s="52"/>
      <c r="C32" s="60" t="s">
        <v>64</v>
      </c>
      <c r="D32" s="61"/>
      <c r="E32" s="61"/>
      <c r="F32" s="54">
        <f>SUM(F23:F30)</f>
        <v>11.755960000000002</v>
      </c>
      <c r="G32" s="7"/>
    </row>
    <row r="33" spans="6:7" s="9" customFormat="1" ht="12.75">
      <c r="F33"/>
      <c r="G33" s="7"/>
    </row>
    <row r="37" spans="1:10" s="9" customFormat="1" ht="12.75">
      <c r="A37" s="129" t="s">
        <v>22</v>
      </c>
      <c r="B37" s="129"/>
      <c r="E37" s="9" t="s">
        <v>156</v>
      </c>
      <c r="J37" s="15" t="s">
        <v>148</v>
      </c>
    </row>
    <row r="38" spans="2:10" s="9" customFormat="1" ht="12.75">
      <c r="B38" s="15"/>
      <c r="J38" s="15"/>
    </row>
    <row r="39" spans="2:10" s="9" customFormat="1" ht="12.75">
      <c r="B39" s="15"/>
      <c r="J39" s="15"/>
    </row>
    <row r="40" spans="2:10" s="9" customFormat="1" ht="12.75">
      <c r="B40" s="15"/>
      <c r="J40" s="15"/>
    </row>
    <row r="42" spans="1:10" ht="12.75">
      <c r="A42" s="15" t="s">
        <v>9</v>
      </c>
      <c r="E42" t="s">
        <v>156</v>
      </c>
      <c r="J42" s="15" t="s">
        <v>197</v>
      </c>
    </row>
    <row r="43" s="9" customFormat="1" ht="12.75">
      <c r="F43"/>
    </row>
    <row r="44" s="9" customFormat="1" ht="12.75"/>
    <row r="45" s="9" customFormat="1" ht="12.75"/>
    <row r="46" s="9" customFormat="1" ht="12.75"/>
    <row r="47" spans="1:6" ht="12.75">
      <c r="A47" s="11" t="s">
        <v>11</v>
      </c>
      <c r="B47" s="9"/>
      <c r="C47" s="9"/>
      <c r="D47" s="9"/>
      <c r="E47" s="9"/>
      <c r="F47" s="9"/>
    </row>
    <row r="48" spans="1:6" ht="12.75">
      <c r="A48" s="9" t="s">
        <v>21</v>
      </c>
      <c r="B48" s="9"/>
      <c r="C48" s="9"/>
      <c r="D48" s="9"/>
      <c r="E48" s="9"/>
      <c r="F48" s="9"/>
    </row>
    <row r="49" spans="1:6" ht="12.75">
      <c r="A49" s="9" t="s">
        <v>90</v>
      </c>
      <c r="B49" s="9"/>
      <c r="C49" s="9"/>
      <c r="D49" s="9"/>
      <c r="E49" s="9"/>
      <c r="F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9"/>
      <c r="B51" s="9"/>
      <c r="C51" s="9"/>
      <c r="D51" s="9"/>
      <c r="E51" s="9"/>
      <c r="F51" s="9"/>
    </row>
    <row r="52" spans="1:6" ht="12.75">
      <c r="A52" s="9"/>
      <c r="B52" s="9"/>
      <c r="C52" s="9"/>
      <c r="D52" s="9"/>
      <c r="E52" s="9"/>
      <c r="F52" s="9"/>
    </row>
  </sheetData>
  <sheetProtection/>
  <mergeCells count="5">
    <mergeCell ref="A37:B37"/>
    <mergeCell ref="C22:E22"/>
    <mergeCell ref="A4:I4"/>
    <mergeCell ref="A3:I3"/>
    <mergeCell ref="A1:I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3">
      <selection activeCell="D24" sqref="D24"/>
    </sheetView>
  </sheetViews>
  <sheetFormatPr defaultColWidth="17.00390625" defaultRowHeight="12.75"/>
  <cols>
    <col min="1" max="1" width="25.25390625" style="0" customWidth="1"/>
  </cols>
  <sheetData>
    <row r="1" spans="1:3" ht="15.75" thickBot="1">
      <c r="A1" s="75"/>
      <c r="B1" s="133" t="s">
        <v>95</v>
      </c>
      <c r="C1" s="133"/>
    </row>
    <row r="2" spans="1:4" ht="15">
      <c r="A2" s="87" t="s">
        <v>94</v>
      </c>
      <c r="B2" s="95" t="s">
        <v>96</v>
      </c>
      <c r="C2" s="95" t="s">
        <v>97</v>
      </c>
      <c r="D2" s="96" t="s">
        <v>153</v>
      </c>
    </row>
    <row r="3" spans="1:4" ht="12.75">
      <c r="A3" s="97" t="s">
        <v>98</v>
      </c>
      <c r="B3" s="52">
        <v>7836.43</v>
      </c>
      <c r="C3" s="52">
        <v>7836.43</v>
      </c>
      <c r="D3" s="89">
        <f aca="true" t="shared" si="0" ref="D3:D29">B3-C3</f>
        <v>0</v>
      </c>
    </row>
    <row r="4" spans="1:4" ht="12.75">
      <c r="A4" s="97" t="s">
        <v>99</v>
      </c>
      <c r="B4" s="52"/>
      <c r="C4" s="52"/>
      <c r="D4" s="89">
        <f t="shared" si="0"/>
        <v>0</v>
      </c>
    </row>
    <row r="5" spans="1:4" ht="12.75">
      <c r="A5" s="97" t="s">
        <v>100</v>
      </c>
      <c r="B5" s="52">
        <v>15672.86</v>
      </c>
      <c r="C5" s="52"/>
      <c r="D5" s="89">
        <f t="shared" si="0"/>
        <v>15672.86</v>
      </c>
    </row>
    <row r="6" spans="1:4" ht="12.75">
      <c r="A6" s="97" t="s">
        <v>101</v>
      </c>
      <c r="B6" s="52">
        <v>7836.43</v>
      </c>
      <c r="C6" s="52">
        <v>7836.43</v>
      </c>
      <c r="D6" s="89">
        <f t="shared" si="0"/>
        <v>0</v>
      </c>
    </row>
    <row r="7" spans="1:4" ht="12.75">
      <c r="A7" s="97" t="s">
        <v>102</v>
      </c>
      <c r="B7" s="52">
        <v>7836.43</v>
      </c>
      <c r="C7" s="52">
        <v>15672.86</v>
      </c>
      <c r="D7" s="89">
        <f t="shared" si="0"/>
        <v>-7836.43</v>
      </c>
    </row>
    <row r="8" spans="1:4" ht="12.75">
      <c r="A8" s="97" t="s">
        <v>103</v>
      </c>
      <c r="B8" s="52">
        <v>9245.82</v>
      </c>
      <c r="C8" s="52">
        <v>7836.43</v>
      </c>
      <c r="D8" s="89">
        <f t="shared" si="0"/>
        <v>1409.3899999999994</v>
      </c>
    </row>
    <row r="9" spans="1:4" ht="12.75">
      <c r="A9" s="97" t="s">
        <v>104</v>
      </c>
      <c r="B9" s="52">
        <v>9245.82</v>
      </c>
      <c r="C9" s="52">
        <v>9245.82</v>
      </c>
      <c r="D9" s="89">
        <f t="shared" si="0"/>
        <v>0</v>
      </c>
    </row>
    <row r="10" spans="1:4" ht="12.75">
      <c r="A10" s="97" t="s">
        <v>105</v>
      </c>
      <c r="B10" s="52">
        <v>9245.82</v>
      </c>
      <c r="C10" s="52">
        <v>9245.82</v>
      </c>
      <c r="D10" s="89">
        <f t="shared" si="0"/>
        <v>0</v>
      </c>
    </row>
    <row r="11" spans="1:4" ht="12.75">
      <c r="A11" s="97" t="s">
        <v>114</v>
      </c>
      <c r="B11" s="52">
        <v>9245.82</v>
      </c>
      <c r="C11" s="52">
        <v>9245.82</v>
      </c>
      <c r="D11" s="89">
        <f t="shared" si="0"/>
        <v>0</v>
      </c>
    </row>
    <row r="12" spans="1:4" ht="12.75">
      <c r="A12" s="97" t="s">
        <v>189</v>
      </c>
      <c r="B12" s="52">
        <v>9245.82</v>
      </c>
      <c r="C12" s="52">
        <v>9245.82</v>
      </c>
      <c r="D12" s="89"/>
    </row>
    <row r="13" spans="1:4" ht="12.75">
      <c r="A13" s="97"/>
      <c r="B13" s="52"/>
      <c r="C13" s="52"/>
      <c r="D13" s="89"/>
    </row>
    <row r="14" spans="1:4" ht="15.75" thickBot="1">
      <c r="A14" s="92" t="s">
        <v>106</v>
      </c>
      <c r="B14" s="93">
        <f>SUM(B3:B13)/1000</f>
        <v>85.41125</v>
      </c>
      <c r="C14" s="93">
        <f>SUM(C3:C13)/1000</f>
        <v>76.16542999999999</v>
      </c>
      <c r="D14" s="94">
        <f>B14-C14</f>
        <v>9.245820000000009</v>
      </c>
    </row>
    <row r="15" spans="1:4" ht="15.75" thickBot="1">
      <c r="A15" s="86"/>
      <c r="B15" s="86"/>
      <c r="C15" s="86"/>
      <c r="D15" s="86"/>
    </row>
    <row r="16" spans="1:4" ht="15">
      <c r="A16" s="87" t="s">
        <v>107</v>
      </c>
      <c r="B16" s="95" t="s">
        <v>96</v>
      </c>
      <c r="C16" s="95" t="s">
        <v>97</v>
      </c>
      <c r="D16" s="96" t="s">
        <v>153</v>
      </c>
    </row>
    <row r="17" spans="1:4" ht="15">
      <c r="A17" s="88" t="s">
        <v>105</v>
      </c>
      <c r="B17" s="52">
        <f>3737.51/1000</f>
        <v>3.7375100000000003</v>
      </c>
      <c r="C17" s="52">
        <v>0</v>
      </c>
      <c r="D17" s="89">
        <f t="shared" si="0"/>
        <v>3.7375100000000003</v>
      </c>
    </row>
    <row r="18" spans="1:4" ht="15">
      <c r="A18" s="88" t="s">
        <v>114</v>
      </c>
      <c r="B18" s="52">
        <f>3737.51/1000</f>
        <v>3.7375100000000003</v>
      </c>
      <c r="C18" s="52">
        <f>3737.51/1000</f>
        <v>3.7375100000000003</v>
      </c>
      <c r="D18" s="89">
        <f t="shared" si="0"/>
        <v>0</v>
      </c>
    </row>
    <row r="19" spans="1:4" ht="12.75">
      <c r="A19" s="115" t="s">
        <v>189</v>
      </c>
      <c r="B19" s="52">
        <f>3737.51/1000</f>
        <v>3.7375100000000003</v>
      </c>
      <c r="C19" s="52">
        <f>3737.51/1000</f>
        <v>3.7375100000000003</v>
      </c>
      <c r="D19" s="89"/>
    </row>
    <row r="20" spans="1:4" ht="15">
      <c r="A20" s="88"/>
      <c r="B20" s="52"/>
      <c r="C20" s="52"/>
      <c r="D20" s="89"/>
    </row>
    <row r="21" spans="1:4" ht="15">
      <c r="A21" s="90" t="s">
        <v>106</v>
      </c>
      <c r="B21" s="6">
        <f>SUM(B17:B20)</f>
        <v>11.212530000000001</v>
      </c>
      <c r="C21" s="6">
        <f>SUM(C17:C20)</f>
        <v>7.475020000000001</v>
      </c>
      <c r="D21" s="91">
        <f t="shared" si="0"/>
        <v>3.7375100000000003</v>
      </c>
    </row>
    <row r="22" spans="1:4" ht="15.75" thickBot="1">
      <c r="A22" s="98"/>
      <c r="B22" s="99"/>
      <c r="C22" s="99"/>
      <c r="D22" s="100"/>
    </row>
    <row r="23" spans="1:4" ht="15">
      <c r="A23" s="87" t="s">
        <v>190</v>
      </c>
      <c r="B23" s="95" t="s">
        <v>96</v>
      </c>
      <c r="C23" s="95" t="s">
        <v>97</v>
      </c>
      <c r="D23" s="96" t="s">
        <v>153</v>
      </c>
    </row>
    <row r="24" spans="1:4" ht="12.75">
      <c r="A24" s="115" t="s">
        <v>191</v>
      </c>
      <c r="B24" s="99">
        <v>8686.12</v>
      </c>
      <c r="C24" s="99">
        <v>8686.12</v>
      </c>
      <c r="D24" s="100">
        <f>B24-C24</f>
        <v>0</v>
      </c>
    </row>
    <row r="25" spans="1:4" ht="15">
      <c r="A25" s="98"/>
      <c r="B25" s="99"/>
      <c r="C25" s="99"/>
      <c r="D25" s="100">
        <f>B25-C25</f>
        <v>0</v>
      </c>
    </row>
    <row r="26" spans="1:4" ht="15">
      <c r="A26" s="90" t="s">
        <v>106</v>
      </c>
      <c r="B26" s="6">
        <f>SUM(B24:B25)/1000</f>
        <v>8.68612</v>
      </c>
      <c r="C26" s="6">
        <f>SUM(C24:C25)/1000</f>
        <v>8.68612</v>
      </c>
      <c r="D26" s="100">
        <f>B26-C26</f>
        <v>0</v>
      </c>
    </row>
    <row r="27" spans="1:4" ht="15">
      <c r="A27" s="98"/>
      <c r="B27" s="99"/>
      <c r="C27" s="99"/>
      <c r="D27" s="100">
        <f>B27-C27</f>
        <v>0</v>
      </c>
    </row>
    <row r="28" spans="1:4" ht="15.75" thickBot="1">
      <c r="A28" s="98"/>
      <c r="B28" s="99"/>
      <c r="C28" s="99"/>
      <c r="D28" s="100"/>
    </row>
    <row r="29" spans="1:4" ht="15.75" thickBot="1">
      <c r="A29" s="101" t="s">
        <v>108</v>
      </c>
      <c r="B29" s="102">
        <f>B14+B21+B26</f>
        <v>105.3099</v>
      </c>
      <c r="C29" s="102">
        <f>C14+C21+C26</f>
        <v>92.32656999999999</v>
      </c>
      <c r="D29" s="103">
        <f t="shared" si="0"/>
        <v>12.98333000000001</v>
      </c>
    </row>
    <row r="32" spans="1:3" ht="15">
      <c r="A32" s="116"/>
      <c r="B32" s="116"/>
      <c r="C32" s="116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5:O42"/>
  <sheetViews>
    <sheetView view="pageBreakPreview" zoomScaleSheetLayoutView="100" zoomScalePageLayoutView="0" workbookViewId="0" topLeftCell="A17">
      <selection activeCell="E36" sqref="E36"/>
    </sheetView>
  </sheetViews>
  <sheetFormatPr defaultColWidth="9.00390625" defaultRowHeight="12.75"/>
  <cols>
    <col min="1" max="1" width="7.00390625" style="0" customWidth="1"/>
    <col min="2" max="2" width="42.00390625" style="0" customWidth="1"/>
    <col min="3" max="3" width="9.625" style="0" customWidth="1"/>
    <col min="4" max="5" width="11.125" style="0" customWidth="1"/>
    <col min="7" max="7" width="9.625" style="0" bestFit="1" customWidth="1"/>
  </cols>
  <sheetData>
    <row r="5" spans="1:4" ht="26.25">
      <c r="A5" s="117" t="s">
        <v>3</v>
      </c>
      <c r="B5" s="117"/>
      <c r="C5" s="117"/>
      <c r="D5" s="117"/>
    </row>
    <row r="7" spans="1:5" s="2" customFormat="1" ht="15.75">
      <c r="A7" s="32"/>
      <c r="B7" s="118" t="s">
        <v>23</v>
      </c>
      <c r="C7" s="118"/>
      <c r="D7" s="118"/>
      <c r="E7" s="21"/>
    </row>
    <row r="8" spans="1:5" s="2" customFormat="1" ht="15.75">
      <c r="A8" s="118" t="s">
        <v>182</v>
      </c>
      <c r="B8" s="118"/>
      <c r="C8" s="118"/>
      <c r="D8" s="118"/>
      <c r="E8" s="21"/>
    </row>
    <row r="9" s="2" customFormat="1" ht="12.75">
      <c r="B9" s="22"/>
    </row>
    <row r="10" spans="2:5" s="2" customFormat="1" ht="12.75">
      <c r="B10" s="21"/>
      <c r="C10" s="21"/>
      <c r="D10" s="21"/>
      <c r="E10" s="21"/>
    </row>
    <row r="11" s="2" customFormat="1" ht="12.75">
      <c r="B11" s="1"/>
    </row>
    <row r="12" ht="13.5" thickBot="1">
      <c r="E12" t="s">
        <v>165</v>
      </c>
    </row>
    <row r="13" spans="1:6" s="4" customFormat="1" ht="48.75" customHeight="1">
      <c r="A13" s="3" t="s">
        <v>0</v>
      </c>
      <c r="B13" s="17" t="s">
        <v>1</v>
      </c>
      <c r="C13" s="18" t="s">
        <v>34</v>
      </c>
      <c r="D13" s="18" t="s">
        <v>40</v>
      </c>
      <c r="E13" s="18" t="s">
        <v>52</v>
      </c>
      <c r="F13" s="18" t="s">
        <v>88</v>
      </c>
    </row>
    <row r="14" spans="1:6" ht="12.75">
      <c r="A14" s="6">
        <v>1</v>
      </c>
      <c r="B14" s="13" t="s">
        <v>12</v>
      </c>
      <c r="C14" s="44">
        <f>58.67633/1.18</f>
        <v>49.725703389830514</v>
      </c>
      <c r="D14" s="34">
        <f>117.35274/1.18</f>
        <v>99.4514745762712</v>
      </c>
      <c r="E14" s="34">
        <f>'[8]07.12'!$W$9/1.18/1000</f>
        <v>49.725762711864405</v>
      </c>
      <c r="F14" s="34">
        <f>C14+D14+E14</f>
        <v>198.90294067796611</v>
      </c>
    </row>
    <row r="15" spans="1:6" ht="12.75">
      <c r="A15" s="6">
        <v>2</v>
      </c>
      <c r="B15" s="13" t="s">
        <v>13</v>
      </c>
      <c r="C15" s="44">
        <f>41.49508/1.18</f>
        <v>35.165322033898306</v>
      </c>
      <c r="D15" s="30">
        <f>99.60918/1.18</f>
        <v>84.4145593220339</v>
      </c>
      <c r="E15" s="30">
        <f>'[8]07.12'!$X$9/1000/1.18</f>
        <v>72.15986440677966</v>
      </c>
      <c r="F15" s="34">
        <f>C15+D15+E15</f>
        <v>191.73974576271186</v>
      </c>
    </row>
    <row r="16" spans="1:6" ht="25.5">
      <c r="A16" s="6">
        <v>3</v>
      </c>
      <c r="B16" s="20" t="s">
        <v>149</v>
      </c>
      <c r="C16" s="33">
        <f>(C14-C15)*1.18</f>
        <v>17.181250000000006</v>
      </c>
      <c r="D16" s="30">
        <f>(D14-D15)*1.18+C16</f>
        <v>34.92481000000002</v>
      </c>
      <c r="E16" s="30">
        <f>(E14-E15)*1.18+D16+E17</f>
        <v>8.452570000000023</v>
      </c>
      <c r="F16" s="30">
        <f>(F14-F15)*1.18</f>
        <v>8.452570000000017</v>
      </c>
    </row>
    <row r="17" spans="1:6" ht="12.75">
      <c r="A17" s="6"/>
      <c r="B17" s="12"/>
      <c r="C17" s="19"/>
      <c r="D17" s="23"/>
      <c r="E17" s="42"/>
      <c r="F17" s="42"/>
    </row>
    <row r="18" spans="1:15" ht="31.5" customHeight="1">
      <c r="A18" s="6">
        <v>4</v>
      </c>
      <c r="B18" s="20" t="s">
        <v>2</v>
      </c>
      <c r="C18" s="30">
        <f>SUM(C19:C25)</f>
        <v>84.73886511784275</v>
      </c>
      <c r="D18" s="30">
        <f>SUM(D19:D25)</f>
        <v>208.5401108524758</v>
      </c>
      <c r="E18" s="30">
        <f>SUM(E19:E25)</f>
        <v>70.0219643423602</v>
      </c>
      <c r="F18" s="30">
        <f aca="true" t="shared" si="0" ref="F18:F24">E18+D18+C18</f>
        <v>363.30094031267873</v>
      </c>
      <c r="G18" s="68"/>
      <c r="H18" s="68"/>
      <c r="I18" s="68"/>
      <c r="J18" s="68"/>
      <c r="K18" s="68"/>
      <c r="L18" s="68"/>
      <c r="M18" s="68"/>
      <c r="N18" s="68"/>
      <c r="O18" s="68"/>
    </row>
    <row r="19" spans="1:6" ht="12.75">
      <c r="A19" s="29" t="s">
        <v>14</v>
      </c>
      <c r="B19" s="12" t="s">
        <v>4</v>
      </c>
      <c r="C19" s="30">
        <f>'[4]кв1.д9'!$AT$45</f>
        <v>8.620837122200003</v>
      </c>
      <c r="D19" s="40">
        <f>'[1]кв1.д9'!$AT$45</f>
        <v>10.200277</v>
      </c>
      <c r="E19" s="40">
        <f>'[5]кв1.д9'!$AT$45</f>
        <v>0.7999499999999999</v>
      </c>
      <c r="F19" s="30">
        <f t="shared" si="0"/>
        <v>19.621064122200004</v>
      </c>
    </row>
    <row r="20" spans="1:6" ht="12.75">
      <c r="A20" s="29" t="s">
        <v>15</v>
      </c>
      <c r="B20" s="12" t="s">
        <v>19</v>
      </c>
      <c r="C20" s="28">
        <f>'[4]кв1.д9'!$AT$54+'[4]кв1.д9'!$AT$58</f>
        <v>47.02667378782063</v>
      </c>
      <c r="D20" s="30">
        <f>'[1]кв1.д9'!$AT$54+'[1]кв1.д9'!$AT$58</f>
        <v>145.76749041294676</v>
      </c>
      <c r="E20" s="30">
        <f>'[5]кв1.д9'!$AT$54+'[5]кв1.д9'!$AT$58</f>
        <v>45.020538272281655</v>
      </c>
      <c r="F20" s="30">
        <f t="shared" si="0"/>
        <v>237.81470247304907</v>
      </c>
    </row>
    <row r="21" spans="1:6" ht="12.75">
      <c r="A21" s="29" t="s">
        <v>16</v>
      </c>
      <c r="B21" s="12" t="s">
        <v>5</v>
      </c>
      <c r="C21" s="30">
        <f>'[4]кв1.д9'!$AT$81</f>
        <v>10.217924139777102</v>
      </c>
      <c r="D21" s="30">
        <f>'[1]кв1.д9'!$AT$81</f>
        <v>16.004539341614905</v>
      </c>
      <c r="E21" s="30">
        <f>'[5]кв1.д9'!$AT$81</f>
        <v>8.429189999999998</v>
      </c>
      <c r="F21" s="30">
        <f t="shared" si="0"/>
        <v>34.651653481392</v>
      </c>
    </row>
    <row r="22" spans="1:6" ht="12.75">
      <c r="A22" s="29" t="s">
        <v>17</v>
      </c>
      <c r="B22" s="12" t="s">
        <v>6</v>
      </c>
      <c r="C22" s="30">
        <f>'[4]кв1.д9'!$AT$83</f>
        <v>4.342600000000001</v>
      </c>
      <c r="D22" s="30">
        <f>'[1]кв1.д9'!$AT$83</f>
        <v>6.304151292257249</v>
      </c>
      <c r="E22" s="30">
        <f>'[5]кв1.д9'!$AT$83</f>
        <v>3.58754813616833</v>
      </c>
      <c r="F22" s="30">
        <f t="shared" si="0"/>
        <v>14.23429942842558</v>
      </c>
    </row>
    <row r="23" spans="1:6" ht="12.75">
      <c r="A23" s="29" t="s">
        <v>18</v>
      </c>
      <c r="B23" s="12" t="s">
        <v>7</v>
      </c>
      <c r="C23" s="30">
        <f>'[4]кв1.д9'!$AT$123</f>
        <v>6.8247284817926746</v>
      </c>
      <c r="D23" s="30">
        <f>'[1]кв1.д9'!$AT$123</f>
        <v>15.135140619216227</v>
      </c>
      <c r="E23" s="30">
        <f>'[5]кв1.д9'!$AT$123</f>
        <v>4.143746411745953</v>
      </c>
      <c r="F23" s="30">
        <f t="shared" si="0"/>
        <v>26.103615512754857</v>
      </c>
    </row>
    <row r="24" spans="1:6" ht="12.75">
      <c r="A24" s="29" t="s">
        <v>20</v>
      </c>
      <c r="B24" s="41" t="s">
        <v>24</v>
      </c>
      <c r="C24" s="30">
        <f>'[4]кв1.д9'!$AT$78+'[4]кв1.д9'!$AT$75+'[4]кв1.д9'!$AT$68+'[4]кв1.д9'!$AT$63</f>
        <v>0.2472460777777778</v>
      </c>
      <c r="D24" s="30">
        <f>'[1]кв1.д9'!$AT$79+'[1]кв1.д9'!$AT$78+'[1]кв1.д9'!$AT$68</f>
        <v>0.210791</v>
      </c>
      <c r="E24" s="30">
        <f>'[5]кв1.д9'!$AT$66-'[5]кв1.д9'!$AT$81</f>
        <v>0.5821271153846155</v>
      </c>
      <c r="F24" s="30">
        <f t="shared" si="0"/>
        <v>1.0401641931623933</v>
      </c>
    </row>
    <row r="25" spans="1:7" ht="13.5" thickBot="1">
      <c r="A25" s="29" t="s">
        <v>86</v>
      </c>
      <c r="B25" s="24" t="s">
        <v>87</v>
      </c>
      <c r="C25" s="30">
        <f>C14*15%</f>
        <v>7.458855508474577</v>
      </c>
      <c r="D25" s="30">
        <f>D14*15%</f>
        <v>14.917721186440678</v>
      </c>
      <c r="E25" s="30">
        <f>E14*15%</f>
        <v>7.458864406779661</v>
      </c>
      <c r="F25" s="30">
        <f>F14*15%</f>
        <v>29.835441101694915</v>
      </c>
      <c r="G25" s="5"/>
    </row>
    <row r="26" spans="1:6" ht="13.5" thickBot="1">
      <c r="A26" s="25"/>
      <c r="B26" s="26"/>
      <c r="C26" s="27"/>
      <c r="D26" s="27"/>
      <c r="E26" s="27"/>
      <c r="F26" s="27"/>
    </row>
    <row r="27" spans="1:5" ht="12.75">
      <c r="A27" s="9"/>
      <c r="B27" s="9"/>
      <c r="C27" s="9"/>
      <c r="D27" s="9"/>
      <c r="E27" s="9"/>
    </row>
    <row r="28" spans="1:5" ht="16.5">
      <c r="A28" s="55" t="s">
        <v>63</v>
      </c>
      <c r="B28" s="55"/>
      <c r="C28" s="55"/>
      <c r="D28" s="55"/>
      <c r="E28" s="55"/>
    </row>
    <row r="29" spans="1:5" ht="24.75" customHeight="1">
      <c r="A29" s="64" t="s">
        <v>65</v>
      </c>
      <c r="B29" s="130" t="s">
        <v>66</v>
      </c>
      <c r="C29" s="131"/>
      <c r="D29" s="131"/>
      <c r="E29" s="62" t="s">
        <v>67</v>
      </c>
    </row>
    <row r="30" spans="1:5" ht="25.5" customHeight="1">
      <c r="A30" s="51" t="s">
        <v>60</v>
      </c>
      <c r="B30" s="126" t="s">
        <v>73</v>
      </c>
      <c r="C30" s="127"/>
      <c r="D30" s="127"/>
      <c r="E30" s="40">
        <v>0.602</v>
      </c>
    </row>
    <row r="31" spans="1:5" ht="11.25" customHeight="1">
      <c r="A31" s="51" t="s">
        <v>129</v>
      </c>
      <c r="B31" s="126"/>
      <c r="C31" s="127"/>
      <c r="D31" s="128"/>
      <c r="E31" s="63">
        <v>0.19793</v>
      </c>
    </row>
    <row r="32" spans="1:5" ht="15.75" customHeight="1">
      <c r="A32" s="51"/>
      <c r="B32" s="126"/>
      <c r="C32" s="127"/>
      <c r="D32" s="128"/>
      <c r="E32" s="63"/>
    </row>
    <row r="33" spans="1:7" s="2" customFormat="1" ht="12.75">
      <c r="A33" s="52"/>
      <c r="B33" s="60" t="s">
        <v>64</v>
      </c>
      <c r="C33" s="61"/>
      <c r="D33" s="61"/>
      <c r="E33" s="54">
        <f>SUM(E30:E32)</f>
        <v>0.79993</v>
      </c>
      <c r="F33"/>
      <c r="G33" s="7"/>
    </row>
    <row r="34" spans="1:5" ht="12.75">
      <c r="A34" s="9"/>
      <c r="B34" s="9"/>
      <c r="C34" s="9"/>
      <c r="D34" s="9"/>
      <c r="E34" s="9"/>
    </row>
    <row r="35" spans="1:5" ht="68.25" customHeight="1">
      <c r="A35" s="129" t="s">
        <v>22</v>
      </c>
      <c r="B35" s="129"/>
      <c r="E35" s="15" t="s">
        <v>186</v>
      </c>
    </row>
    <row r="36" spans="1:5" ht="48" customHeight="1">
      <c r="A36" s="134" t="s">
        <v>9</v>
      </c>
      <c r="B36" s="134"/>
      <c r="E36" s="15" t="s">
        <v>197</v>
      </c>
    </row>
    <row r="37" spans="1:7" ht="12.75">
      <c r="A37" s="9"/>
      <c r="B37" s="15"/>
      <c r="C37" s="15"/>
      <c r="D37" s="9"/>
      <c r="E37" s="9"/>
      <c r="G37" s="5"/>
    </row>
    <row r="38" spans="1:7" ht="12.75">
      <c r="A38" s="9"/>
      <c r="B38" s="9"/>
      <c r="C38" s="9"/>
      <c r="D38" s="9"/>
      <c r="E38" s="9"/>
      <c r="F38" s="1"/>
      <c r="G38" s="1"/>
    </row>
    <row r="39" spans="1:7" s="2" customFormat="1" ht="12.75">
      <c r="A39" s="15"/>
      <c r="B39" s="15"/>
      <c r="C39" s="15"/>
      <c r="D39" s="15"/>
      <c r="E39" s="15"/>
      <c r="F39" s="1"/>
      <c r="G39" s="7"/>
    </row>
    <row r="40" spans="1:7" s="9" customFormat="1" ht="12.75">
      <c r="A40" s="11" t="s">
        <v>11</v>
      </c>
      <c r="F40" s="8"/>
      <c r="G40" s="7"/>
    </row>
    <row r="41" spans="1:7" s="9" customFormat="1" ht="12.75">
      <c r="A41" s="9" t="s">
        <v>21</v>
      </c>
      <c r="F41" s="8"/>
      <c r="G41" s="7"/>
    </row>
    <row r="42" spans="1:5" ht="12.75">
      <c r="A42" s="9" t="s">
        <v>90</v>
      </c>
      <c r="B42" s="9"/>
      <c r="C42" s="9"/>
      <c r="D42" s="9"/>
      <c r="E42" s="9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</sheetData>
  <sheetProtection/>
  <mergeCells count="9">
    <mergeCell ref="A35:B35"/>
    <mergeCell ref="A36:B36"/>
    <mergeCell ref="B31:D31"/>
    <mergeCell ref="B32:D32"/>
    <mergeCell ref="A5:D5"/>
    <mergeCell ref="B7:D7"/>
    <mergeCell ref="A8:D8"/>
    <mergeCell ref="B29:D29"/>
    <mergeCell ref="B30:D30"/>
  </mergeCells>
  <printOptions/>
  <pageMargins left="0.61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5:O55"/>
  <sheetViews>
    <sheetView view="pageBreakPreview" zoomScaleSheetLayoutView="100" zoomScalePageLayoutView="0" workbookViewId="0" topLeftCell="A10">
      <selection activeCell="F30" sqref="F30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9.625" style="0" customWidth="1"/>
    <col min="4" max="5" width="11.125" style="0" customWidth="1"/>
    <col min="7" max="7" width="9.625" style="0" bestFit="1" customWidth="1"/>
  </cols>
  <sheetData>
    <row r="5" spans="1:4" ht="26.25">
      <c r="A5" s="117" t="s">
        <v>3</v>
      </c>
      <c r="B5" s="117"/>
      <c r="C5" s="117"/>
      <c r="D5" s="117"/>
    </row>
    <row r="7" spans="1:5" s="2" customFormat="1" ht="15.75">
      <c r="A7" s="32"/>
      <c r="B7" s="118" t="s">
        <v>23</v>
      </c>
      <c r="C7" s="118"/>
      <c r="D7" s="118"/>
      <c r="E7" s="21"/>
    </row>
    <row r="8" spans="1:5" s="2" customFormat="1" ht="15.75">
      <c r="A8" s="118" t="s">
        <v>183</v>
      </c>
      <c r="B8" s="118"/>
      <c r="C8" s="118"/>
      <c r="D8" s="118"/>
      <c r="E8" s="21"/>
    </row>
    <row r="9" s="2" customFormat="1" ht="12.75">
      <c r="B9" s="22"/>
    </row>
    <row r="10" spans="2:5" s="2" customFormat="1" ht="12.75">
      <c r="B10" s="21"/>
      <c r="C10" s="21"/>
      <c r="D10" s="21"/>
      <c r="E10" s="21"/>
    </row>
    <row r="11" s="2" customFormat="1" ht="12.75">
      <c r="B11" s="1"/>
    </row>
    <row r="12" ht="13.5" thickBot="1">
      <c r="E12" t="s">
        <v>184</v>
      </c>
    </row>
    <row r="13" spans="1:6" s="4" customFormat="1" ht="48.75" customHeight="1">
      <c r="A13" s="3" t="s">
        <v>0</v>
      </c>
      <c r="B13" s="17" t="s">
        <v>1</v>
      </c>
      <c r="C13" s="18" t="s">
        <v>35</v>
      </c>
      <c r="D13" s="18" t="s">
        <v>40</v>
      </c>
      <c r="E13" s="18" t="s">
        <v>52</v>
      </c>
      <c r="F13" s="18" t="s">
        <v>88</v>
      </c>
    </row>
    <row r="14" spans="1:6" ht="12.75">
      <c r="A14" s="6">
        <v>1</v>
      </c>
      <c r="B14" s="13" t="s">
        <v>12</v>
      </c>
      <c r="C14" s="44">
        <f>56.74916/1.18</f>
        <v>48.09250847457628</v>
      </c>
      <c r="D14" s="34">
        <f>136.19804/1.18</f>
        <v>115.42206779661016</v>
      </c>
      <c r="E14" s="34">
        <f>'[8]07.12'!$W$10/1.18/1000</f>
        <v>57.71105084745763</v>
      </c>
      <c r="F14" s="34">
        <f>C14+D14+E14</f>
        <v>221.22562711864407</v>
      </c>
    </row>
    <row r="15" spans="1:6" ht="12.75">
      <c r="A15" s="6">
        <v>2</v>
      </c>
      <c r="B15" s="13" t="s">
        <v>13</v>
      </c>
      <c r="C15" s="44">
        <f>45.40459/1.18</f>
        <v>38.47846610169491</v>
      </c>
      <c r="D15" s="30">
        <f>133.92927/1.18</f>
        <v>113.49938135593221</v>
      </c>
      <c r="E15" s="30">
        <f>'[8]07.12'!$X$10/1.18/1000</f>
        <v>68.01948305084746</v>
      </c>
      <c r="F15" s="34">
        <f>C15+D15+E15</f>
        <v>219.9973305084746</v>
      </c>
    </row>
    <row r="16" spans="1:6" ht="25.5">
      <c r="A16" s="6">
        <v>3</v>
      </c>
      <c r="B16" s="20" t="s">
        <v>175</v>
      </c>
      <c r="C16" s="30">
        <f>(C14-C15)*1.18</f>
        <v>11.34457000000001</v>
      </c>
      <c r="D16" s="30">
        <f>(D14-D15)*1.18+C16</f>
        <v>13.61333999999999</v>
      </c>
      <c r="E16" s="30">
        <f>(E14-E15)*1.18+D16+E17</f>
        <v>1.449389999999994</v>
      </c>
      <c r="F16" s="30">
        <f>(F14-F15)*1.18</f>
        <v>1.449389999999986</v>
      </c>
    </row>
    <row r="17" spans="1:6" ht="12.75">
      <c r="A17" s="6"/>
      <c r="B17" s="12"/>
      <c r="C17" s="19"/>
      <c r="D17" s="23"/>
      <c r="E17" s="42"/>
      <c r="F17" s="42"/>
    </row>
    <row r="18" spans="1:15" ht="31.5" customHeight="1">
      <c r="A18" s="6">
        <v>4</v>
      </c>
      <c r="B18" s="20" t="s">
        <v>2</v>
      </c>
      <c r="C18" s="30">
        <f>SUM(C19:C25)</f>
        <v>84.43517461841934</v>
      </c>
      <c r="D18" s="30">
        <f>SUM(D19:D25)</f>
        <v>282.65038414601815</v>
      </c>
      <c r="E18" s="30">
        <f>SUM(E19:E25)</f>
        <v>81.46343637212243</v>
      </c>
      <c r="F18" s="30">
        <f aca="true" t="shared" si="0" ref="F18:F24">E18+D18+C18</f>
        <v>448.54899513655994</v>
      </c>
      <c r="G18" s="68"/>
      <c r="H18" s="68"/>
      <c r="I18" s="68"/>
      <c r="J18" s="68"/>
      <c r="K18" s="68"/>
      <c r="L18" s="68"/>
      <c r="M18" s="68"/>
      <c r="N18" s="68"/>
      <c r="O18" s="68"/>
    </row>
    <row r="19" spans="1:6" ht="12.75">
      <c r="A19" s="29" t="s">
        <v>14</v>
      </c>
      <c r="B19" s="12" t="s">
        <v>4</v>
      </c>
      <c r="C19" s="30">
        <f>'[4]кв1.д20'!$AT$45</f>
        <v>3.4692671222000033</v>
      </c>
      <c r="D19" s="40">
        <f>'[1]кв1.д20'!$AT$45</f>
        <v>57.432897</v>
      </c>
      <c r="E19" s="40">
        <f>'[5]кв1.д20'!$AT$45</f>
        <v>1.1998</v>
      </c>
      <c r="F19" s="30">
        <f t="shared" si="0"/>
        <v>62.1019641222</v>
      </c>
    </row>
    <row r="20" spans="1:6" ht="12.75">
      <c r="A20" s="29" t="s">
        <v>15</v>
      </c>
      <c r="B20" s="12" t="s">
        <v>19</v>
      </c>
      <c r="C20" s="28">
        <f>'[4]кв1.д20'!$AT$54+'[4]кв1.д20'!$AT$58</f>
        <v>53.059153949397924</v>
      </c>
      <c r="D20" s="30">
        <f>'[1]кв1.д20'!$AT$54+'[1]кв1.д20'!$AT$58</f>
        <v>137.149019586491</v>
      </c>
      <c r="E20" s="30">
        <f>'[5]кв1.д20'!$AT$54+'[5]кв1.д20'!$AT$58</f>
        <v>52.25047398824687</v>
      </c>
      <c r="F20" s="30">
        <f t="shared" si="0"/>
        <v>242.45864752413576</v>
      </c>
    </row>
    <row r="21" spans="1:6" ht="12.75">
      <c r="A21" s="29" t="s">
        <v>16</v>
      </c>
      <c r="B21" s="12" t="s">
        <v>5</v>
      </c>
      <c r="C21" s="30">
        <f>'[4]кв1.д20'!$AT$81</f>
        <v>13.341580450454284</v>
      </c>
      <c r="D21" s="30">
        <f>'[1]кв1.д20'!$AT$81</f>
        <v>44.00791178268251</v>
      </c>
      <c r="E21" s="30">
        <f>'[5]кв1.д20'!$AT$81</f>
        <v>9.78285</v>
      </c>
      <c r="F21" s="30">
        <f t="shared" si="0"/>
        <v>67.1323422331368</v>
      </c>
    </row>
    <row r="22" spans="1:6" ht="12.75">
      <c r="A22" s="29" t="s">
        <v>17</v>
      </c>
      <c r="B22" s="12" t="s">
        <v>6</v>
      </c>
      <c r="C22" s="30">
        <f>'[4]кв1.д20'!$AT$83</f>
        <v>0.28859999999999997</v>
      </c>
      <c r="D22" s="30">
        <f>'[1]кв1.д20'!$AT$83</f>
        <v>1.6896342970234643</v>
      </c>
      <c r="E22" s="30">
        <f>'[5]кв1.д20'!$AT$83</f>
        <v>4.1605249630965595</v>
      </c>
      <c r="F22" s="30">
        <f t="shared" si="0"/>
        <v>6.138759260120024</v>
      </c>
    </row>
    <row r="23" spans="1:6" ht="12.75">
      <c r="A23" s="29" t="s">
        <v>18</v>
      </c>
      <c r="B23" s="12" t="s">
        <v>7</v>
      </c>
      <c r="C23" s="30">
        <f>'[4]кв1.д20'!$AT$123</f>
        <v>6.886150747402928</v>
      </c>
      <c r="D23" s="30">
        <f>'[1]кв1.д20'!$AT$123</f>
        <v>24.84682031032966</v>
      </c>
      <c r="E23" s="30">
        <f>'[5]кв1.д20'!$AT$123</f>
        <v>4.831002678275727</v>
      </c>
      <c r="F23" s="30">
        <f t="shared" si="0"/>
        <v>36.563973736008315</v>
      </c>
    </row>
    <row r="24" spans="1:6" ht="12.75">
      <c r="A24" s="29" t="s">
        <v>20</v>
      </c>
      <c r="B24" s="41" t="s">
        <v>24</v>
      </c>
      <c r="C24" s="30">
        <f>'[4]кв1.д20'!$AT$78+'[4]кв1.д20'!$AT$75+'[4]кв1.д20'!$AT$68+'[4]кв1.д20'!$AT$63</f>
        <v>0.17654607777777778</v>
      </c>
      <c r="D24" s="30">
        <f>'[1]кв1.д20'!$AT$79+'[1]кв1.д20'!$AT$78+'[1]кв1.д20'!$AT$68</f>
        <v>0.210791</v>
      </c>
      <c r="E24" s="30">
        <f>'[5]кв1.д20'!$AT$66-'[5]кв1.д20'!$AT$81</f>
        <v>0.5821271153846155</v>
      </c>
      <c r="F24" s="30">
        <f t="shared" si="0"/>
        <v>0.9694641931623932</v>
      </c>
    </row>
    <row r="25" spans="1:7" ht="13.5" thickBot="1">
      <c r="A25" s="29" t="s">
        <v>86</v>
      </c>
      <c r="B25" s="24" t="s">
        <v>87</v>
      </c>
      <c r="C25" s="30">
        <f>C14*15%</f>
        <v>7.213876271186441</v>
      </c>
      <c r="D25" s="30">
        <f>D14*15%</f>
        <v>17.313310169491523</v>
      </c>
      <c r="E25" s="30">
        <f>E14*15%</f>
        <v>8.656657627118644</v>
      </c>
      <c r="F25" s="30">
        <f>F14*15%</f>
        <v>33.183844067796606</v>
      </c>
      <c r="G25" s="5"/>
    </row>
    <row r="26" spans="1:6" ht="13.5" thickBot="1">
      <c r="A26" s="25"/>
      <c r="B26" s="26"/>
      <c r="C26" s="27"/>
      <c r="D26" s="27"/>
      <c r="E26" s="27"/>
      <c r="F26" s="27"/>
    </row>
    <row r="27" spans="1:5" ht="12.75">
      <c r="A27" s="9"/>
      <c r="B27" s="9"/>
      <c r="C27" s="9"/>
      <c r="D27" s="9"/>
      <c r="E27" s="9"/>
    </row>
    <row r="28" spans="1:5" ht="12.75">
      <c r="A28" s="9"/>
      <c r="B28" s="9"/>
      <c r="C28" s="9"/>
      <c r="D28" s="9"/>
      <c r="E28" s="9"/>
    </row>
    <row r="29" spans="1:6" ht="68.25" customHeight="1">
      <c r="A29" s="129" t="s">
        <v>22</v>
      </c>
      <c r="B29" s="129"/>
      <c r="D29" s="9"/>
      <c r="E29" s="9"/>
      <c r="F29" s="15" t="s">
        <v>148</v>
      </c>
    </row>
    <row r="30" spans="1:6" ht="48" customHeight="1">
      <c r="A30" s="134" t="s">
        <v>9</v>
      </c>
      <c r="B30" s="134"/>
      <c r="D30" s="9"/>
      <c r="E30" s="9"/>
      <c r="F30" s="15" t="s">
        <v>197</v>
      </c>
    </row>
    <row r="31" spans="1:7" ht="12.75">
      <c r="A31" s="9"/>
      <c r="B31" s="15"/>
      <c r="C31" s="15"/>
      <c r="D31" s="9"/>
      <c r="E31" s="9"/>
      <c r="G31" s="5"/>
    </row>
    <row r="32" spans="1:7" ht="12.75">
      <c r="A32" s="9"/>
      <c r="B32" s="9"/>
      <c r="C32" s="9"/>
      <c r="D32" s="9"/>
      <c r="E32" s="9"/>
      <c r="G32" s="1"/>
    </row>
    <row r="33" spans="1:7" s="2" customFormat="1" ht="12.75">
      <c r="A33" s="15"/>
      <c r="B33" s="15"/>
      <c r="C33" s="15"/>
      <c r="D33" s="15"/>
      <c r="E33" s="15"/>
      <c r="F33"/>
      <c r="G33" s="7"/>
    </row>
    <row r="34" spans="6:7" s="9" customFormat="1" ht="12.75">
      <c r="F34"/>
      <c r="G34" s="7"/>
    </row>
    <row r="35" spans="6:7" s="9" customFormat="1" ht="12.75">
      <c r="F35"/>
      <c r="G35" s="7"/>
    </row>
    <row r="36" spans="1:5" ht="12.75">
      <c r="A36" s="9"/>
      <c r="B36" s="9"/>
      <c r="C36" s="9"/>
      <c r="D36" s="9"/>
      <c r="E36" s="9"/>
    </row>
    <row r="37" s="9" customFormat="1" ht="12.75">
      <c r="F37"/>
    </row>
    <row r="38" s="9" customFormat="1" ht="12.75">
      <c r="F38" s="1"/>
    </row>
    <row r="39" spans="2:6" s="9" customFormat="1" ht="12.75">
      <c r="B39" s="11" t="s">
        <v>11</v>
      </c>
      <c r="F39" s="1"/>
    </row>
    <row r="40" spans="2:6" s="9" customFormat="1" ht="12.75">
      <c r="B40" s="9" t="s">
        <v>21</v>
      </c>
      <c r="F40" s="8"/>
    </row>
    <row r="41" spans="2:6" s="9" customFormat="1" ht="12.75">
      <c r="B41" s="9" t="s">
        <v>90</v>
      </c>
      <c r="F41" s="8"/>
    </row>
    <row r="42" s="9" customFormat="1" ht="12.75">
      <c r="F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F50" s="9"/>
    </row>
    <row r="51" ht="12.75">
      <c r="F51" s="9"/>
    </row>
    <row r="52" ht="12.75">
      <c r="F52" s="9"/>
    </row>
    <row r="53" ht="12.75">
      <c r="F53" s="9"/>
    </row>
    <row r="54" ht="12.75">
      <c r="F54" s="9"/>
    </row>
    <row r="55" ht="12.75">
      <c r="F55" s="9"/>
    </row>
  </sheetData>
  <sheetProtection/>
  <mergeCells count="5">
    <mergeCell ref="A5:D5"/>
    <mergeCell ref="B7:D7"/>
    <mergeCell ref="A8:D8"/>
    <mergeCell ref="A29:B29"/>
    <mergeCell ref="A30:B30"/>
  </mergeCells>
  <printOptions/>
  <pageMargins left="0.61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Q69"/>
  <sheetViews>
    <sheetView view="pageBreakPreview" zoomScaleSheetLayoutView="100" zoomScalePageLayoutView="0" workbookViewId="0" topLeftCell="A4">
      <selection activeCell="H28" sqref="H28"/>
    </sheetView>
  </sheetViews>
  <sheetFormatPr defaultColWidth="9.00390625" defaultRowHeight="12.75"/>
  <cols>
    <col min="1" max="1" width="4.375" style="0" customWidth="1"/>
    <col min="2" max="2" width="31.375" style="0" customWidth="1"/>
    <col min="3" max="3" width="11.25390625" style="0" customWidth="1"/>
    <col min="4" max="4" width="11.375" style="0" customWidth="1"/>
    <col min="5" max="5" width="9.625" style="0" customWidth="1"/>
    <col min="6" max="7" width="11.125" style="0" customWidth="1"/>
    <col min="9" max="9" width="9.625" style="0" bestFit="1" customWidth="1"/>
  </cols>
  <sheetData>
    <row r="5" spans="1:6" ht="26.25">
      <c r="A5" s="117" t="s">
        <v>3</v>
      </c>
      <c r="B5" s="117"/>
      <c r="C5" s="117"/>
      <c r="D5" s="117"/>
      <c r="E5" s="117"/>
      <c r="F5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203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ht="13.5" thickBot="1">
      <c r="G10" t="s">
        <v>192</v>
      </c>
    </row>
    <row r="11" spans="1:8" s="4" customFormat="1" ht="48.75" customHeight="1">
      <c r="A11" s="3" t="s">
        <v>0</v>
      </c>
      <c r="B11" s="17" t="s">
        <v>1</v>
      </c>
      <c r="C11" s="18" t="s">
        <v>29</v>
      </c>
      <c r="D11" s="18" t="s">
        <v>25</v>
      </c>
      <c r="E11" s="18" t="s">
        <v>26</v>
      </c>
      <c r="F11" s="18" t="s">
        <v>39</v>
      </c>
      <c r="G11" s="18" t="s">
        <v>52</v>
      </c>
      <c r="H11" s="18" t="s">
        <v>88</v>
      </c>
    </row>
    <row r="12" spans="1:8" ht="25.5">
      <c r="A12" s="6">
        <v>1</v>
      </c>
      <c r="B12" s="20" t="s">
        <v>193</v>
      </c>
      <c r="C12" s="38">
        <f>141.23491/1.18</f>
        <v>119.69060169491527</v>
      </c>
      <c r="D12" s="44">
        <f>423.41794/1.18</f>
        <v>358.82876271186444</v>
      </c>
      <c r="E12" s="36">
        <f>424.02549/1.18</f>
        <v>359.34363559322037</v>
      </c>
      <c r="F12" s="34">
        <f>424.01527/1.18</f>
        <v>359.3349745762712</v>
      </c>
      <c r="G12" s="34">
        <f>'[8]07.12'!$W$11/1.18/1000</f>
        <v>443.9018474576272</v>
      </c>
      <c r="H12" s="34">
        <f>E12+F12+G12+D12+C12</f>
        <v>1641.0998220338986</v>
      </c>
    </row>
    <row r="13" spans="1:8" ht="25.5">
      <c r="A13" s="6">
        <v>2</v>
      </c>
      <c r="B13" s="20" t="s">
        <v>199</v>
      </c>
      <c r="C13" s="38">
        <f>124.31724/1.18</f>
        <v>105.353593220339</v>
      </c>
      <c r="D13" s="44">
        <f>400.17569/1.18</f>
        <v>339.1319406779661</v>
      </c>
      <c r="E13" s="44">
        <f>422.89419/1.18</f>
        <v>358.38490677966104</v>
      </c>
      <c r="F13" s="30">
        <f>422.09428/1.18</f>
        <v>357.7070169491526</v>
      </c>
      <c r="G13" s="30">
        <f>'[8]07.12'!$X$11/1.18/1000</f>
        <v>432.15675423728817</v>
      </c>
      <c r="H13" s="34">
        <f>E13+F13+G13+D13+C13</f>
        <v>1592.734211864407</v>
      </c>
    </row>
    <row r="14" spans="1:8" ht="25.5">
      <c r="A14" s="6">
        <v>3</v>
      </c>
      <c r="B14" s="20" t="s">
        <v>194</v>
      </c>
      <c r="C14" s="30">
        <f>(C12-C13)*1.18</f>
        <v>16.917670000000008</v>
      </c>
      <c r="D14" s="33">
        <f>(D12-D13)*1.18+C14</f>
        <v>40.15992000000006</v>
      </c>
      <c r="E14" s="33">
        <f>(E12-E13)*1.18+D14</f>
        <v>41.29122000000007</v>
      </c>
      <c r="F14" s="30">
        <f>(F12-F13)*1.18+E14</f>
        <v>43.212209999999985</v>
      </c>
      <c r="G14" s="30">
        <f>(G12-G13)*1.18+F14+G15</f>
        <v>57.07142000000002</v>
      </c>
      <c r="H14" s="30">
        <f>(H12-H13)*1.18</f>
        <v>57.071420000000174</v>
      </c>
    </row>
    <row r="15" spans="1:8" ht="12.75">
      <c r="A15" s="6"/>
      <c r="B15" s="12"/>
      <c r="C15" s="19"/>
      <c r="D15" s="19"/>
      <c r="E15" s="19"/>
      <c r="F15" s="23"/>
      <c r="G15" s="69"/>
      <c r="H15" s="52"/>
    </row>
    <row r="16" spans="1:17" ht="31.5" customHeight="1">
      <c r="A16" s="6">
        <v>4</v>
      </c>
      <c r="B16" s="20" t="s">
        <v>2</v>
      </c>
      <c r="C16" s="30">
        <f>SUM(C17:C23)</f>
        <v>71.2175249189333</v>
      </c>
      <c r="D16" s="30">
        <f>SUM(D17:D23)</f>
        <v>329.7243618647796</v>
      </c>
      <c r="E16" s="30">
        <f>SUM(E17:E23)</f>
        <v>431.82666637855783</v>
      </c>
      <c r="F16" s="30">
        <f>SUM(F17:F23)</f>
        <v>331.30954142027986</v>
      </c>
      <c r="G16" s="70">
        <f>SUM(G17:G23)</f>
        <v>618.5641973675575</v>
      </c>
      <c r="H16" s="34">
        <f aca="true" t="shared" si="0" ref="H16:H22">E16+F16+G16+D16+C16</f>
        <v>1782.6422919501083</v>
      </c>
      <c r="I16" s="68"/>
      <c r="J16" s="68"/>
      <c r="K16" s="68"/>
      <c r="L16" s="68"/>
      <c r="M16" s="68"/>
      <c r="N16" s="68"/>
      <c r="O16" s="68"/>
      <c r="P16" s="68"/>
      <c r="Q16" s="68"/>
    </row>
    <row r="17" spans="1:8" ht="12.75">
      <c r="A17" s="29" t="s">
        <v>14</v>
      </c>
      <c r="B17" s="12" t="s">
        <v>4</v>
      </c>
      <c r="C17" s="30"/>
      <c r="D17" s="30">
        <f>'[3]кв2.д2'!$AT$44</f>
        <v>34.30209</v>
      </c>
      <c r="E17" s="30">
        <f>'[4]кв2.д2'!$AT$45</f>
        <v>37.1324071222</v>
      </c>
      <c r="F17" s="40">
        <f>'[1]кв2.д2'!$AT$45</f>
        <v>32.749777</v>
      </c>
      <c r="G17" s="40">
        <f>'[5]кв2.д2'!$AT$45</f>
        <v>66.81968</v>
      </c>
      <c r="H17" s="34">
        <f t="shared" si="0"/>
        <v>171.00395412219999</v>
      </c>
    </row>
    <row r="18" spans="1:8" ht="12.75">
      <c r="A18" s="29" t="s">
        <v>15</v>
      </c>
      <c r="B18" s="12" t="s">
        <v>19</v>
      </c>
      <c r="C18" s="30">
        <f>'[2]кв2.д2'!$AT$51+'[2]кв2.д2'!$AT$55</f>
        <v>35.68543599852</v>
      </c>
      <c r="D18" s="30">
        <f>'[3]кв2.д2'!$AT$51+'[3]кв2.д2'!$AT$55</f>
        <v>136.36518753299998</v>
      </c>
      <c r="E18" s="28">
        <f>'[4]кв2.д2'!$AT$54+'[4]кв2.д2'!$AT$58</f>
        <v>243.1939446814692</v>
      </c>
      <c r="F18" s="30">
        <f>'[1]кв2.д2'!$AT$54+'[1]кв2.д2'!$AT$58</f>
        <v>154.5757512301483</v>
      </c>
      <c r="G18" s="30">
        <f>'[5]кв2.д2'!$AT$54+'[5]кв2.д2'!$AT$58</f>
        <v>352.9213129616976</v>
      </c>
      <c r="H18" s="34">
        <f t="shared" si="0"/>
        <v>922.7416324048352</v>
      </c>
    </row>
    <row r="19" spans="1:8" ht="12.75">
      <c r="A19" s="29" t="s">
        <v>16</v>
      </c>
      <c r="B19" s="12" t="s">
        <v>5</v>
      </c>
      <c r="C19" s="30">
        <f>'[2]кв2.д2'!$AT$83</f>
        <v>12.39385</v>
      </c>
      <c r="D19" s="30">
        <f>'[3]кв2.д2'!$AT$83</f>
        <v>56.46334</v>
      </c>
      <c r="E19" s="30">
        <f>'[4]кв2.д2'!$AT$81</f>
        <v>57.999425320169856</v>
      </c>
      <c r="F19" s="30">
        <f>'[1]кв2.д2'!$AT$81</f>
        <v>64.68698025483872</v>
      </c>
      <c r="G19" s="30">
        <f>'[5]кв2.д2'!$AT$81</f>
        <v>68.1267905</v>
      </c>
      <c r="H19" s="34">
        <f t="shared" si="0"/>
        <v>259.67038607500854</v>
      </c>
    </row>
    <row r="20" spans="1:8" ht="12.75">
      <c r="A20" s="29" t="s">
        <v>17</v>
      </c>
      <c r="B20" s="12" t="s">
        <v>6</v>
      </c>
      <c r="C20" s="30">
        <f>'[2]кв2.д2'!$AT$84</f>
        <v>0</v>
      </c>
      <c r="D20" s="30">
        <f>'[3]кв2.д2'!$AT$84</f>
        <v>23.39460359</v>
      </c>
      <c r="E20" s="30">
        <f>'[4]кв2.д2'!$AT$83</f>
        <v>7.833600000000003</v>
      </c>
      <c r="F20" s="30">
        <f>'[1]кв2.д2'!$AT$83</f>
        <v>4.190383965901169</v>
      </c>
      <c r="G20" s="30">
        <f>'[5]кв2.д2'!$AT$83</f>
        <v>21.407176044053127</v>
      </c>
      <c r="H20" s="34">
        <f t="shared" si="0"/>
        <v>56.8257635999543</v>
      </c>
    </row>
    <row r="21" spans="1:8" ht="12.75">
      <c r="A21" s="29" t="s">
        <v>18</v>
      </c>
      <c r="B21" s="12" t="s">
        <v>7</v>
      </c>
      <c r="C21" s="30">
        <f>'[2]кв2.д2'!$AT$124</f>
        <v>5.184648666176001</v>
      </c>
      <c r="D21" s="30">
        <f>'[3]кв2.д2'!$AT$124</f>
        <v>22.844476335</v>
      </c>
      <c r="E21" s="30">
        <f>'[4]кв2.д2'!$AT$123</f>
        <v>31.518497837957995</v>
      </c>
      <c r="F21" s="30">
        <f>'[1]кв2.д2'!$AT$123</f>
        <v>20.99561178295102</v>
      </c>
      <c r="G21" s="30">
        <f>'[5]кв2.д2'!$AT$123</f>
        <v>42.213260294444794</v>
      </c>
      <c r="H21" s="34">
        <f t="shared" si="0"/>
        <v>122.7564949165298</v>
      </c>
    </row>
    <row r="22" spans="1:8" ht="12.75">
      <c r="A22" s="29" t="s">
        <v>20</v>
      </c>
      <c r="B22" s="41" t="s">
        <v>24</v>
      </c>
      <c r="C22" s="30"/>
      <c r="D22" s="30">
        <f>'[3]кв2.д2'!$AT$82+'[3]кв2.д2'!$AT$79</f>
        <v>2.5303500000000003</v>
      </c>
      <c r="E22" s="30">
        <f>'[4]кв2.д2'!$AT$78+'[4]кв2.д2'!$AT$75+'[4]кв2.д2'!$AT$68+'[4]кв2.д2'!$AT$63</f>
        <v>0.2472460777777778</v>
      </c>
      <c r="F22" s="30">
        <f>'[1]кв2.д2'!$AT$79+'[1]кв2.д2'!$AT$78+'[1]кв2.д2'!$AT$68</f>
        <v>0.210791</v>
      </c>
      <c r="G22" s="30">
        <f>'[5]кв2.д2'!$AT$66-'[5]кв2.д2'!$AT$81</f>
        <v>0.49070044871795915</v>
      </c>
      <c r="H22" s="34">
        <f t="shared" si="0"/>
        <v>3.4790875264957375</v>
      </c>
    </row>
    <row r="23" spans="1:8" ht="13.5" thickBot="1">
      <c r="A23" s="29" t="s">
        <v>86</v>
      </c>
      <c r="B23" s="24" t="s">
        <v>87</v>
      </c>
      <c r="C23" s="30">
        <f aca="true" t="shared" si="1" ref="C23:H23">C12*15%</f>
        <v>17.95359025423729</v>
      </c>
      <c r="D23" s="30">
        <f t="shared" si="1"/>
        <v>53.82431440677966</v>
      </c>
      <c r="E23" s="30">
        <f t="shared" si="1"/>
        <v>53.901545338983055</v>
      </c>
      <c r="F23" s="30">
        <f t="shared" si="1"/>
        <v>53.900246186440675</v>
      </c>
      <c r="G23" s="30">
        <f t="shared" si="1"/>
        <v>66.58527711864407</v>
      </c>
      <c r="H23" s="30">
        <f t="shared" si="1"/>
        <v>246.16497330508477</v>
      </c>
    </row>
    <row r="24" spans="1:8" ht="13.5" thickBot="1">
      <c r="A24" s="25"/>
      <c r="B24" s="26"/>
      <c r="C24" s="43"/>
      <c r="D24" s="27"/>
      <c r="E24" s="27"/>
      <c r="F24" s="27"/>
      <c r="G24" s="27"/>
      <c r="H24" s="27"/>
    </row>
    <row r="25" spans="1:7" ht="12.75">
      <c r="A25" s="9"/>
      <c r="B25" s="9"/>
      <c r="C25" s="9"/>
      <c r="D25" s="9"/>
      <c r="E25" s="9"/>
      <c r="F25" s="9"/>
      <c r="G25" s="9"/>
    </row>
    <row r="26" spans="1:8" ht="16.5">
      <c r="A26" s="55" t="s">
        <v>63</v>
      </c>
      <c r="B26" s="55"/>
      <c r="C26" s="55"/>
      <c r="D26" s="55"/>
      <c r="E26" s="55"/>
      <c r="F26" s="55"/>
      <c r="H26" s="55"/>
    </row>
    <row r="27" spans="2:8" ht="24.75" customHeight="1">
      <c r="B27" s="64" t="s">
        <v>65</v>
      </c>
      <c r="C27" s="130" t="s">
        <v>66</v>
      </c>
      <c r="D27" s="131"/>
      <c r="E27" s="131"/>
      <c r="F27" s="131"/>
      <c r="G27" s="132"/>
      <c r="H27" s="62" t="s">
        <v>67</v>
      </c>
    </row>
    <row r="28" spans="2:8" ht="25.5" customHeight="1">
      <c r="B28" s="51" t="s">
        <v>60</v>
      </c>
      <c r="C28" s="126" t="s">
        <v>74</v>
      </c>
      <c r="D28" s="127"/>
      <c r="E28" s="127"/>
      <c r="F28" s="127"/>
      <c r="G28" s="128"/>
      <c r="H28" s="63">
        <v>1.74952</v>
      </c>
    </row>
    <row r="29" spans="2:8" ht="19.5" customHeight="1">
      <c r="B29" s="51" t="s">
        <v>68</v>
      </c>
      <c r="C29" s="126" t="s">
        <v>57</v>
      </c>
      <c r="D29" s="127"/>
      <c r="E29" s="127"/>
      <c r="F29" s="127"/>
      <c r="G29" s="128"/>
      <c r="H29" s="63">
        <v>2.04203</v>
      </c>
    </row>
    <row r="30" spans="2:8" ht="18.75" customHeight="1">
      <c r="B30" s="51" t="s">
        <v>68</v>
      </c>
      <c r="C30" s="126" t="s">
        <v>75</v>
      </c>
      <c r="D30" s="127"/>
      <c r="E30" s="127"/>
      <c r="F30" s="127"/>
      <c r="G30" s="128"/>
      <c r="H30" s="63">
        <v>15.55923</v>
      </c>
    </row>
    <row r="31" spans="2:8" ht="15.75" customHeight="1">
      <c r="B31" s="51" t="s">
        <v>68</v>
      </c>
      <c r="C31" s="126" t="s">
        <v>76</v>
      </c>
      <c r="D31" s="127"/>
      <c r="E31" s="127"/>
      <c r="F31" s="127"/>
      <c r="G31" s="128"/>
      <c r="H31" s="63">
        <v>0.10726</v>
      </c>
    </row>
    <row r="32" spans="2:8" ht="15.75" customHeight="1">
      <c r="B32" s="51" t="s">
        <v>68</v>
      </c>
      <c r="C32" s="126" t="s">
        <v>77</v>
      </c>
      <c r="D32" s="127"/>
      <c r="E32" s="127"/>
      <c r="F32" s="127"/>
      <c r="G32" s="128"/>
      <c r="H32" s="63">
        <v>10</v>
      </c>
    </row>
    <row r="33" spans="2:8" ht="15.75" customHeight="1">
      <c r="B33" s="51" t="s">
        <v>118</v>
      </c>
      <c r="C33" s="126" t="s">
        <v>57</v>
      </c>
      <c r="D33" s="127"/>
      <c r="E33" s="127"/>
      <c r="F33" s="127"/>
      <c r="G33" s="128"/>
      <c r="H33" s="63">
        <v>2.84532</v>
      </c>
    </row>
    <row r="34" spans="2:8" ht="15.75" customHeight="1">
      <c r="B34" s="51" t="s">
        <v>118</v>
      </c>
      <c r="C34" s="126" t="s">
        <v>74</v>
      </c>
      <c r="D34" s="127"/>
      <c r="E34" s="127"/>
      <c r="F34" s="127"/>
      <c r="G34" s="128"/>
      <c r="H34" s="63">
        <v>0.2617</v>
      </c>
    </row>
    <row r="35" spans="2:8" ht="15.75" customHeight="1">
      <c r="B35" s="51" t="s">
        <v>118</v>
      </c>
      <c r="C35" s="56" t="s">
        <v>171</v>
      </c>
      <c r="D35" s="57"/>
      <c r="E35" s="57"/>
      <c r="F35" s="57"/>
      <c r="G35" s="58"/>
      <c r="H35" s="63">
        <v>1.5</v>
      </c>
    </row>
    <row r="36" spans="2:8" ht="12.75" customHeight="1">
      <c r="B36" s="51" t="s">
        <v>109</v>
      </c>
      <c r="C36" s="123" t="s">
        <v>111</v>
      </c>
      <c r="D36" s="123"/>
      <c r="E36" s="123"/>
      <c r="F36" s="123"/>
      <c r="G36" s="123"/>
      <c r="H36" s="63">
        <v>0.65046</v>
      </c>
    </row>
    <row r="37" spans="2:8" ht="15" customHeight="1">
      <c r="B37" s="51" t="s">
        <v>109</v>
      </c>
      <c r="C37" s="123" t="s">
        <v>112</v>
      </c>
      <c r="D37" s="123"/>
      <c r="E37" s="123"/>
      <c r="F37" s="123"/>
      <c r="G37" s="123"/>
      <c r="H37" s="63">
        <v>0.58403</v>
      </c>
    </row>
    <row r="38" spans="2:8" ht="13.5" customHeight="1">
      <c r="B38" s="51" t="s">
        <v>109</v>
      </c>
      <c r="C38" s="123" t="s">
        <v>113</v>
      </c>
      <c r="D38" s="123"/>
      <c r="E38" s="123"/>
      <c r="F38" s="123"/>
      <c r="G38" s="123"/>
      <c r="H38" s="63">
        <f>1.47464+0.19793</f>
        <v>1.67257</v>
      </c>
    </row>
    <row r="39" spans="1:8" ht="12.75">
      <c r="A39" s="9"/>
      <c r="B39" s="52" t="s">
        <v>132</v>
      </c>
      <c r="C39" s="60" t="s">
        <v>133</v>
      </c>
      <c r="D39" s="61"/>
      <c r="E39" s="61"/>
      <c r="H39" s="52">
        <v>0.19</v>
      </c>
    </row>
    <row r="40" spans="2:8" ht="13.5" customHeight="1">
      <c r="B40" s="52" t="s">
        <v>132</v>
      </c>
      <c r="C40" s="56" t="s">
        <v>135</v>
      </c>
      <c r="D40" s="57"/>
      <c r="E40" s="57"/>
      <c r="F40" s="57"/>
      <c r="G40" s="58"/>
      <c r="H40" s="63">
        <v>0.151</v>
      </c>
    </row>
    <row r="41" spans="2:8" ht="13.5" customHeight="1">
      <c r="B41" s="52" t="s">
        <v>134</v>
      </c>
      <c r="C41" s="56" t="s">
        <v>137</v>
      </c>
      <c r="D41" s="57"/>
      <c r="E41" s="57"/>
      <c r="F41" s="57"/>
      <c r="G41" s="58"/>
      <c r="H41" s="63">
        <v>0.4725</v>
      </c>
    </row>
    <row r="42" spans="2:8" ht="13.5" customHeight="1">
      <c r="B42" s="52" t="s">
        <v>134</v>
      </c>
      <c r="C42" s="56" t="s">
        <v>138</v>
      </c>
      <c r="D42" s="57"/>
      <c r="E42" s="57"/>
      <c r="F42" s="57"/>
      <c r="G42" s="58"/>
      <c r="H42" s="63">
        <v>0.62</v>
      </c>
    </row>
    <row r="43" spans="2:8" ht="13.5" customHeight="1">
      <c r="B43" s="52" t="s">
        <v>161</v>
      </c>
      <c r="C43" s="126" t="s">
        <v>77</v>
      </c>
      <c r="D43" s="127"/>
      <c r="E43" s="127"/>
      <c r="F43" s="127"/>
      <c r="G43" s="128"/>
      <c r="H43" s="63">
        <v>10</v>
      </c>
    </row>
    <row r="44" spans="2:8" ht="13.5" customHeight="1">
      <c r="B44" s="52" t="s">
        <v>161</v>
      </c>
      <c r="C44" s="56" t="s">
        <v>130</v>
      </c>
      <c r="D44" s="57"/>
      <c r="E44" s="57"/>
      <c r="F44" s="57"/>
      <c r="G44" s="58"/>
      <c r="H44" s="63">
        <v>1.99152</v>
      </c>
    </row>
    <row r="45" spans="2:8" ht="13.5" customHeight="1">
      <c r="B45" s="52" t="s">
        <v>161</v>
      </c>
      <c r="C45" s="110" t="s">
        <v>185</v>
      </c>
      <c r="D45" s="111"/>
      <c r="E45" s="111"/>
      <c r="F45" s="111"/>
      <c r="G45" s="112"/>
      <c r="H45" s="63">
        <v>4.73169</v>
      </c>
    </row>
    <row r="46" spans="2:8" ht="13.5" customHeight="1">
      <c r="B46" s="52" t="s">
        <v>157</v>
      </c>
      <c r="C46" s="56" t="s">
        <v>167</v>
      </c>
      <c r="D46" s="57"/>
      <c r="E46" s="57"/>
      <c r="F46" s="57"/>
      <c r="G46" s="58"/>
      <c r="H46" s="63">
        <v>3.88632</v>
      </c>
    </row>
    <row r="47" spans="2:8" ht="13.5" customHeight="1">
      <c r="B47" s="52" t="s">
        <v>157</v>
      </c>
      <c r="C47" s="56" t="s">
        <v>126</v>
      </c>
      <c r="D47" s="57"/>
      <c r="E47" s="57"/>
      <c r="F47" s="57"/>
      <c r="G47" s="58"/>
      <c r="H47" s="63">
        <v>3.34965</v>
      </c>
    </row>
    <row r="48" spans="2:8" ht="13.5" customHeight="1">
      <c r="B48" s="52" t="s">
        <v>157</v>
      </c>
      <c r="C48" s="56" t="s">
        <v>168</v>
      </c>
      <c r="D48" s="57"/>
      <c r="E48" s="57"/>
      <c r="F48" s="57"/>
      <c r="G48" s="58"/>
      <c r="H48" s="63">
        <v>0.49831</v>
      </c>
    </row>
    <row r="49" spans="2:8" ht="13.5" customHeight="1">
      <c r="B49" s="52" t="s">
        <v>157</v>
      </c>
      <c r="C49" s="56" t="s">
        <v>169</v>
      </c>
      <c r="D49" s="57"/>
      <c r="E49" s="57"/>
      <c r="F49" s="57"/>
      <c r="G49" s="58"/>
      <c r="H49" s="63">
        <v>1.647</v>
      </c>
    </row>
    <row r="50" spans="2:8" ht="13.5" customHeight="1">
      <c r="B50" s="52" t="s">
        <v>157</v>
      </c>
      <c r="C50" s="56" t="s">
        <v>170</v>
      </c>
      <c r="D50" s="57"/>
      <c r="E50" s="57"/>
      <c r="F50" s="57"/>
      <c r="G50" s="58"/>
      <c r="H50" s="63">
        <f>0.7333+0.304861428571429</f>
        <v>1.038161428571429</v>
      </c>
    </row>
    <row r="51" spans="2:8" ht="13.5" customHeight="1">
      <c r="B51" s="52"/>
      <c r="C51" s="56"/>
      <c r="D51" s="57"/>
      <c r="E51" s="57"/>
      <c r="F51" s="57"/>
      <c r="G51" s="58"/>
      <c r="H51" s="63"/>
    </row>
    <row r="52" spans="2:8" s="2" customFormat="1" ht="12.75">
      <c r="B52" s="52"/>
      <c r="C52" s="126" t="s">
        <v>64</v>
      </c>
      <c r="D52" s="127"/>
      <c r="E52" s="127"/>
      <c r="F52" s="127"/>
      <c r="G52" s="128"/>
      <c r="H52" s="54">
        <f>SUM(H28:H51)</f>
        <v>65.54827142857141</v>
      </c>
    </row>
    <row r="53" spans="1:7" ht="12.75">
      <c r="A53" s="9"/>
      <c r="B53" s="9"/>
      <c r="C53" s="9"/>
      <c r="D53" s="9"/>
      <c r="E53" s="9"/>
      <c r="F53" s="9"/>
      <c r="G53" s="9"/>
    </row>
    <row r="54" spans="1:7" ht="68.25" customHeight="1">
      <c r="A54" s="129" t="s">
        <v>22</v>
      </c>
      <c r="B54" s="129"/>
      <c r="C54" s="31"/>
      <c r="D54" s="31"/>
      <c r="F54" s="9"/>
      <c r="G54" s="15" t="s">
        <v>148</v>
      </c>
    </row>
    <row r="55" spans="1:8" ht="48" customHeight="1">
      <c r="A55" s="134" t="s">
        <v>9</v>
      </c>
      <c r="B55" s="134"/>
      <c r="C55" s="134"/>
      <c r="D55" s="15"/>
      <c r="F55" s="9"/>
      <c r="G55" s="15" t="s">
        <v>197</v>
      </c>
      <c r="H55" s="1"/>
    </row>
    <row r="56" spans="1:9" ht="12.75">
      <c r="A56" s="9"/>
      <c r="B56" s="15"/>
      <c r="C56" s="15"/>
      <c r="D56" s="15"/>
      <c r="E56" s="15"/>
      <c r="F56" s="9"/>
      <c r="G56" s="9"/>
      <c r="H56" s="1"/>
      <c r="I56" s="5"/>
    </row>
    <row r="57" spans="1:9" ht="12.75">
      <c r="A57" s="9"/>
      <c r="B57" s="9"/>
      <c r="C57" s="9"/>
      <c r="D57" s="9"/>
      <c r="E57" s="9"/>
      <c r="F57" s="9"/>
      <c r="G57" s="9"/>
      <c r="H57" s="8"/>
      <c r="I57" s="1"/>
    </row>
    <row r="58" s="9" customFormat="1" ht="12.75"/>
    <row r="59" spans="2:4" s="9" customFormat="1" ht="12.75">
      <c r="B59" s="11" t="s">
        <v>11</v>
      </c>
      <c r="C59" s="11"/>
      <c r="D59" s="11"/>
    </row>
    <row r="60" s="9" customFormat="1" ht="12.75">
      <c r="B60" s="9" t="s">
        <v>21</v>
      </c>
    </row>
    <row r="61" s="9" customFormat="1" ht="12.75">
      <c r="B61" s="9" t="s">
        <v>90</v>
      </c>
    </row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>
      <c r="H68"/>
    </row>
    <row r="69" s="9" customFormat="1" ht="12.75">
      <c r="H69"/>
    </row>
  </sheetData>
  <sheetProtection/>
  <mergeCells count="18">
    <mergeCell ref="A55:C55"/>
    <mergeCell ref="A5:F5"/>
    <mergeCell ref="B7:F7"/>
    <mergeCell ref="A8:F8"/>
    <mergeCell ref="C27:G27"/>
    <mergeCell ref="C28:G28"/>
    <mergeCell ref="C33:G33"/>
    <mergeCell ref="C34:G34"/>
    <mergeCell ref="C36:G36"/>
    <mergeCell ref="C37:G37"/>
    <mergeCell ref="C29:G29"/>
    <mergeCell ref="C30:G30"/>
    <mergeCell ref="C31:G31"/>
    <mergeCell ref="C32:G32"/>
    <mergeCell ref="C52:G52"/>
    <mergeCell ref="A54:B54"/>
    <mergeCell ref="C38:G38"/>
    <mergeCell ref="C43:G43"/>
  </mergeCells>
  <printOptions/>
  <pageMargins left="0.61" right="0" top="0.984251968503937" bottom="0.984251968503937" header="0.5118110236220472" footer="0.5118110236220472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Q72"/>
  <sheetViews>
    <sheetView view="pageBreakPreview" zoomScaleSheetLayoutView="100" zoomScalePageLayoutView="0" workbookViewId="0" topLeftCell="A5">
      <selection activeCell="I26" sqref="I26"/>
    </sheetView>
  </sheetViews>
  <sheetFormatPr defaultColWidth="9.00390625" defaultRowHeight="12.75"/>
  <cols>
    <col min="1" max="1" width="8.125" style="0" customWidth="1"/>
    <col min="2" max="2" width="30.375" style="0" customWidth="1"/>
    <col min="3" max="3" width="11.25390625" style="0" customWidth="1"/>
    <col min="4" max="4" width="11.375" style="0" customWidth="1"/>
    <col min="5" max="5" width="11.75390625" style="0" customWidth="1"/>
    <col min="6" max="7" width="11.125" style="0" customWidth="1"/>
    <col min="9" max="9" width="9.625" style="0" bestFit="1" customWidth="1"/>
  </cols>
  <sheetData>
    <row r="6" spans="1:6" ht="26.25">
      <c r="A6" s="117" t="s">
        <v>3</v>
      </c>
      <c r="B6" s="117"/>
      <c r="C6" s="117"/>
      <c r="D6" s="117"/>
      <c r="E6" s="117"/>
      <c r="F6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204</v>
      </c>
      <c r="B8" s="118"/>
      <c r="C8" s="118"/>
      <c r="D8" s="118"/>
      <c r="E8" s="118"/>
      <c r="F8" s="118"/>
      <c r="G8" s="21"/>
    </row>
    <row r="9" ht="13.5" thickBot="1">
      <c r="G9" t="s">
        <v>192</v>
      </c>
    </row>
    <row r="10" spans="1:8" s="4" customFormat="1" ht="48.75" customHeight="1">
      <c r="A10" s="3" t="s">
        <v>0</v>
      </c>
      <c r="B10" s="17" t="s">
        <v>1</v>
      </c>
      <c r="C10" s="18" t="s">
        <v>29</v>
      </c>
      <c r="D10" s="18" t="s">
        <v>25</v>
      </c>
      <c r="E10" s="18" t="s">
        <v>26</v>
      </c>
      <c r="F10" s="18" t="s">
        <v>40</v>
      </c>
      <c r="G10" s="18" t="s">
        <v>52</v>
      </c>
      <c r="H10" s="18" t="s">
        <v>88</v>
      </c>
    </row>
    <row r="11" spans="1:8" ht="25.5">
      <c r="A11" s="6">
        <v>1</v>
      </c>
      <c r="B11" s="20" t="s">
        <v>193</v>
      </c>
      <c r="C11" s="35">
        <f>143.78359/1.18</f>
        <v>121.85050000000001</v>
      </c>
      <c r="D11" s="36">
        <v>365.493</v>
      </c>
      <c r="E11" s="37">
        <v>365.726</v>
      </c>
      <c r="F11" s="34">
        <f>431.607/1.18</f>
        <v>365.76864406779663</v>
      </c>
      <c r="G11" s="34">
        <f>'[8]07.12'!$W$12/1.18/1000</f>
        <v>451.6624576271185</v>
      </c>
      <c r="H11" s="34">
        <f>E11+F11+G11+D11+C11</f>
        <v>1670.500601694915</v>
      </c>
    </row>
    <row r="12" spans="1:8" ht="25.5">
      <c r="A12" s="6">
        <v>2</v>
      </c>
      <c r="B12" s="20" t="s">
        <v>199</v>
      </c>
      <c r="C12" s="38">
        <f>120.8524/1.18</f>
        <v>102.41728813559322</v>
      </c>
      <c r="D12" s="39">
        <f>419.30458/1.18</f>
        <v>355.34286440677965</v>
      </c>
      <c r="E12" s="39">
        <f>408.86259/1.18</f>
        <v>346.49372033898305</v>
      </c>
      <c r="F12" s="30">
        <f>441.95027/1.18</f>
        <v>374.53412711864405</v>
      </c>
      <c r="G12" s="30">
        <f>'[8]07.12'!$X$12/1.18/1000</f>
        <v>441.57877966101694</v>
      </c>
      <c r="H12" s="34">
        <f>E12+F12+G12+D12+C12</f>
        <v>1620.366779661017</v>
      </c>
    </row>
    <row r="13" spans="1:8" ht="25.5">
      <c r="A13" s="6">
        <v>3</v>
      </c>
      <c r="B13" s="20" t="s">
        <v>194</v>
      </c>
      <c r="C13" s="33">
        <f>(C11-C12)*1.18</f>
        <v>22.931190000000008</v>
      </c>
      <c r="D13" s="33">
        <f>(D11-D12)*1.18+C13</f>
        <v>34.90835000000001</v>
      </c>
      <c r="E13" s="33">
        <f>(E11-E12)*1.18+D13</f>
        <v>57.60244000000001</v>
      </c>
      <c r="F13" s="30">
        <f>(F11-F12)*1.18+E13</f>
        <v>47.259170000000054</v>
      </c>
      <c r="G13" s="30">
        <f>(G11-G12)*1.18+F13+G14</f>
        <v>59.157909999999895</v>
      </c>
      <c r="H13" s="30">
        <f>(H11-H12)*1.18</f>
        <v>59.15790999999965</v>
      </c>
    </row>
    <row r="14" spans="1:8" ht="12.75">
      <c r="A14" s="6"/>
      <c r="B14" s="12"/>
      <c r="C14" s="19"/>
      <c r="D14" s="19"/>
      <c r="E14" s="19"/>
      <c r="F14" s="23"/>
      <c r="G14" s="42"/>
      <c r="H14" s="23"/>
    </row>
    <row r="15" spans="1:17" ht="31.5" customHeight="1">
      <c r="A15" s="6">
        <v>4</v>
      </c>
      <c r="B15" s="20" t="s">
        <v>2</v>
      </c>
      <c r="C15" s="30">
        <f>SUM(C16:C22)</f>
        <v>77.19017966469599</v>
      </c>
      <c r="D15" s="30">
        <f>SUM(D16:D22)</f>
        <v>398.1708714594</v>
      </c>
      <c r="E15" s="30">
        <f>SUM(E16:E22)</f>
        <v>424.5305263271734</v>
      </c>
      <c r="F15" s="30">
        <f>SUM(F16:F22)</f>
        <v>432.6890514114576</v>
      </c>
      <c r="G15" s="30">
        <f>SUM(G16:G22)</f>
        <v>615.2487163815016</v>
      </c>
      <c r="H15" s="34">
        <f aca="true" t="shared" si="0" ref="H15:H21">E15+F15+G15+D15+C15</f>
        <v>1947.8293452442288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1:8" ht="12.75">
      <c r="A16" s="29" t="s">
        <v>14</v>
      </c>
      <c r="B16" s="12" t="s">
        <v>53</v>
      </c>
      <c r="C16" s="30">
        <f>'[2]кв2.д3'!$AT$44</f>
        <v>13.21581</v>
      </c>
      <c r="D16" s="30">
        <f>'[3]кв2.д3'!$AT$44</f>
        <v>51.84485</v>
      </c>
      <c r="E16" s="28">
        <f>'[4]кв2.д3'!$AT$45</f>
        <v>29.121097122200005</v>
      </c>
      <c r="F16" s="40">
        <f>'[1]кв2.д3'!$AT$45</f>
        <v>54.219847</v>
      </c>
      <c r="G16" s="40">
        <f>'[5]кв2.д3'!$AT$45</f>
        <v>56.056850000000004</v>
      </c>
      <c r="H16" s="34">
        <f t="shared" si="0"/>
        <v>204.4584541222</v>
      </c>
    </row>
    <row r="17" spans="1:8" ht="12.75">
      <c r="A17" s="29" t="s">
        <v>15</v>
      </c>
      <c r="B17" s="12" t="s">
        <v>19</v>
      </c>
      <c r="C17" s="30">
        <f>'[2]кв2.д3'!$AT$51+'[2]кв2.д3'!$AT$55</f>
        <v>29.016815998519995</v>
      </c>
      <c r="D17" s="30">
        <f>'[3]кв2.д3'!$AT$51+'[3]кв2.д3'!$AT$55</f>
        <v>176.01503160289997</v>
      </c>
      <c r="E17" s="28">
        <f>'[4]кв2.д3'!$AT$54+'[4]кв2.д3'!$AT$58</f>
        <v>244.5032436727238</v>
      </c>
      <c r="F17" s="30">
        <f>'[1]кв2.д3'!$AT$54+'[1]кв2.д3'!$AT$58</f>
        <v>188.92612797207528</v>
      </c>
      <c r="G17" s="30">
        <f>'[5]кв2.д3'!$AT$54+'[5]кв2.д3'!$AT$58</f>
        <v>359.089958180424</v>
      </c>
      <c r="H17" s="34">
        <f t="shared" si="0"/>
        <v>997.551177426643</v>
      </c>
    </row>
    <row r="18" spans="1:8" ht="12.75">
      <c r="A18" s="29" t="s">
        <v>16</v>
      </c>
      <c r="B18" s="12" t="s">
        <v>5</v>
      </c>
      <c r="C18" s="30">
        <f>'[2]кв2.д3'!$AT$83</f>
        <v>12.46785</v>
      </c>
      <c r="D18" s="30">
        <f>'[3]кв2.д3'!$AT$83</f>
        <v>55.29545</v>
      </c>
      <c r="E18" s="30">
        <f>'[4]кв2.д3'!$AT$81</f>
        <v>58.92734098552244</v>
      </c>
      <c r="F18" s="30">
        <f>'[1]кв2.д3'!$AT$81</f>
        <v>101.61474969049236</v>
      </c>
      <c r="G18" s="30">
        <f>'[5]кв2.д3'!$AT$81</f>
        <v>69.400308</v>
      </c>
      <c r="H18" s="34">
        <f t="shared" si="0"/>
        <v>297.7056986760148</v>
      </c>
    </row>
    <row r="19" spans="1:8" ht="12.75">
      <c r="A19" s="29" t="s">
        <v>17</v>
      </c>
      <c r="B19" s="12" t="s">
        <v>6</v>
      </c>
      <c r="C19" s="30">
        <f>'[2]кв2.д3'!$AT$84</f>
        <v>0</v>
      </c>
      <c r="D19" s="30">
        <f>'[3]кв2.д3'!$AT$84</f>
        <v>28.393910390000006</v>
      </c>
      <c r="E19" s="30">
        <f>'[4]кв2.д3'!$AT$83</f>
        <v>4.246599999999999</v>
      </c>
      <c r="F19" s="30">
        <f>'[1]кв2.д3'!$AT$83</f>
        <v>3.960388555659364</v>
      </c>
      <c r="G19" s="30">
        <f>'[5]кв2.д3'!$AT$83</f>
        <v>20.35289680924637</v>
      </c>
      <c r="H19" s="34">
        <f t="shared" si="0"/>
        <v>56.95379575490574</v>
      </c>
    </row>
    <row r="20" spans="1:8" ht="12.75">
      <c r="A20" s="29" t="s">
        <v>18</v>
      </c>
      <c r="B20" s="12" t="s">
        <v>7</v>
      </c>
      <c r="C20" s="30">
        <f>'[2]кв2.д3'!$AT$124</f>
        <v>4.2121286661760005</v>
      </c>
      <c r="D20" s="30">
        <f>'[3]кв2.д3'!$AT$124</f>
        <v>29.4473294665</v>
      </c>
      <c r="E20" s="30">
        <f>'[4]кв2.д3'!$AT$123</f>
        <v>32.62609846894935</v>
      </c>
      <c r="F20" s="30">
        <f>'[1]кв2.д3'!$AT$123</f>
        <v>25.126880583061094</v>
      </c>
      <c r="G20" s="30">
        <f>'[5]кв2.д3'!$AT$123</f>
        <v>42.108634299045505</v>
      </c>
      <c r="H20" s="34">
        <f t="shared" si="0"/>
        <v>133.52107148373196</v>
      </c>
    </row>
    <row r="21" spans="1:8" ht="12.75">
      <c r="A21" s="29" t="s">
        <v>20</v>
      </c>
      <c r="B21" s="41" t="s">
        <v>24</v>
      </c>
      <c r="C21" s="30"/>
      <c r="D21" s="30">
        <f>'[3]кв2.д3'!$AT$82</f>
        <v>2.35035</v>
      </c>
      <c r="E21" s="30">
        <f>'[4]кв2.д3'!$AT$75+'[4]кв2.д3'!$AT$78+'[4]кв2.д3'!$AT$68+'[4]кв2.д3'!$AT$63</f>
        <v>0.2472460777777778</v>
      </c>
      <c r="F21" s="30">
        <f>'[1]кв2.д3'!$AT$79+'[1]кв2.д3'!$AT$78+'[1]кв2.д3'!$AT$68</f>
        <v>3.9757610000000003</v>
      </c>
      <c r="G21" s="30">
        <f>'[5]кв2.д3'!$AT$66-'[5]кв2.д3'!$AT$81</f>
        <v>0.49070044871794494</v>
      </c>
      <c r="H21" s="34">
        <f t="shared" si="0"/>
        <v>7.0640575264957235</v>
      </c>
    </row>
    <row r="22" spans="1:8" ht="13.5" thickBot="1">
      <c r="A22" s="29" t="s">
        <v>86</v>
      </c>
      <c r="B22" s="24" t="s">
        <v>87</v>
      </c>
      <c r="C22" s="30">
        <f aca="true" t="shared" si="1" ref="C22:H22">C11*15%</f>
        <v>18.277575000000002</v>
      </c>
      <c r="D22" s="30">
        <f t="shared" si="1"/>
        <v>54.823949999999996</v>
      </c>
      <c r="E22" s="30">
        <f t="shared" si="1"/>
        <v>54.8589</v>
      </c>
      <c r="F22" s="30">
        <f t="shared" si="1"/>
        <v>54.865296610169494</v>
      </c>
      <c r="G22" s="30">
        <f t="shared" si="1"/>
        <v>67.74936864406777</v>
      </c>
      <c r="H22" s="30">
        <f t="shared" si="1"/>
        <v>250.57509025423724</v>
      </c>
    </row>
    <row r="23" spans="1:8" ht="13.5" thickBot="1">
      <c r="A23" s="25"/>
      <c r="B23" s="26"/>
      <c r="C23" s="43"/>
      <c r="D23" s="27"/>
      <c r="E23" s="27"/>
      <c r="F23" s="27"/>
      <c r="G23" s="27"/>
      <c r="H23" s="27"/>
    </row>
    <row r="24" spans="1:7" ht="12.75">
      <c r="A24" s="9"/>
      <c r="B24" s="9"/>
      <c r="C24" s="9"/>
      <c r="D24" s="9"/>
      <c r="E24" s="9"/>
      <c r="F24" s="9"/>
      <c r="G24" s="9"/>
    </row>
    <row r="25" spans="2:8" ht="16.5">
      <c r="B25" s="55" t="s">
        <v>63</v>
      </c>
      <c r="C25" s="77"/>
      <c r="D25" s="55"/>
      <c r="E25" s="55"/>
      <c r="F25" s="55"/>
      <c r="H25" s="55"/>
    </row>
    <row r="26" spans="2:8" ht="24.75" customHeight="1">
      <c r="B26" s="64" t="s">
        <v>65</v>
      </c>
      <c r="C26" s="136" t="s">
        <v>66</v>
      </c>
      <c r="D26" s="137"/>
      <c r="E26" s="137"/>
      <c r="F26" s="137"/>
      <c r="G26" s="138"/>
      <c r="H26" s="113" t="s">
        <v>67</v>
      </c>
    </row>
    <row r="27" spans="2:8" ht="25.5" customHeight="1">
      <c r="B27" s="51" t="s">
        <v>60</v>
      </c>
      <c r="C27" s="126" t="s">
        <v>54</v>
      </c>
      <c r="D27" s="127"/>
      <c r="E27" s="127"/>
      <c r="F27" s="127"/>
      <c r="G27" s="135"/>
      <c r="H27" s="40">
        <v>0.91343</v>
      </c>
    </row>
    <row r="28" spans="2:8" ht="19.5" customHeight="1">
      <c r="B28" s="51" t="s">
        <v>89</v>
      </c>
      <c r="C28" s="126" t="s">
        <v>56</v>
      </c>
      <c r="D28" s="127"/>
      <c r="E28" s="127"/>
      <c r="F28" s="127"/>
      <c r="G28" s="135"/>
      <c r="H28" s="40">
        <v>2.94518</v>
      </c>
    </row>
    <row r="29" spans="2:8" ht="18.75" customHeight="1">
      <c r="B29" s="51" t="s">
        <v>89</v>
      </c>
      <c r="C29" s="126" t="s">
        <v>57</v>
      </c>
      <c r="D29" s="127"/>
      <c r="E29" s="127"/>
      <c r="F29" s="127"/>
      <c r="G29" s="135"/>
      <c r="H29" s="40">
        <v>5.67913</v>
      </c>
    </row>
    <row r="30" spans="2:8" ht="15.75" customHeight="1">
      <c r="B30" s="51" t="s">
        <v>89</v>
      </c>
      <c r="C30" s="126" t="s">
        <v>58</v>
      </c>
      <c r="D30" s="127"/>
      <c r="E30" s="127"/>
      <c r="F30" s="127"/>
      <c r="G30" s="135"/>
      <c r="H30" s="40">
        <v>7.69515</v>
      </c>
    </row>
    <row r="31" spans="2:8" ht="15.75" customHeight="1">
      <c r="B31" s="51" t="s">
        <v>89</v>
      </c>
      <c r="C31" s="126" t="s">
        <v>59</v>
      </c>
      <c r="D31" s="127"/>
      <c r="E31" s="127"/>
      <c r="F31" s="127"/>
      <c r="G31" s="135"/>
      <c r="H31" s="40">
        <f>0.362+0.018</f>
        <v>0.38</v>
      </c>
    </row>
    <row r="32" spans="2:8" ht="15.75" customHeight="1">
      <c r="B32" s="51" t="s">
        <v>118</v>
      </c>
      <c r="C32" s="126" t="s">
        <v>119</v>
      </c>
      <c r="D32" s="127"/>
      <c r="E32" s="127"/>
      <c r="F32" s="127"/>
      <c r="G32" s="135"/>
      <c r="H32" s="30">
        <v>1.15617</v>
      </c>
    </row>
    <row r="33" spans="2:8" ht="15.75" customHeight="1">
      <c r="B33" s="51" t="s">
        <v>118</v>
      </c>
      <c r="C33" s="56" t="s">
        <v>120</v>
      </c>
      <c r="D33" s="57"/>
      <c r="E33" s="57"/>
      <c r="F33" s="57"/>
      <c r="G33" s="76"/>
      <c r="H33" s="40">
        <v>0.2617</v>
      </c>
    </row>
    <row r="34" spans="2:8" ht="15.75" customHeight="1">
      <c r="B34" s="51" t="s">
        <v>118</v>
      </c>
      <c r="C34" s="56" t="s">
        <v>121</v>
      </c>
      <c r="D34" s="57"/>
      <c r="E34" s="57"/>
      <c r="F34" s="57"/>
      <c r="G34" s="76"/>
      <c r="H34" s="40">
        <v>0.45072</v>
      </c>
    </row>
    <row r="35" spans="2:8" ht="15.75" customHeight="1">
      <c r="B35" s="51" t="s">
        <v>118</v>
      </c>
      <c r="C35" s="126" t="s">
        <v>54</v>
      </c>
      <c r="D35" s="127"/>
      <c r="E35" s="127"/>
      <c r="F35" s="127"/>
      <c r="G35" s="135"/>
      <c r="H35" s="40">
        <v>0.94427</v>
      </c>
    </row>
    <row r="36" spans="2:8" ht="15.75" customHeight="1">
      <c r="B36" s="51" t="s">
        <v>127</v>
      </c>
      <c r="C36" s="56" t="s">
        <v>111</v>
      </c>
      <c r="D36" s="57"/>
      <c r="E36" s="57"/>
      <c r="F36" s="57"/>
      <c r="G36" s="76"/>
      <c r="H36" s="40">
        <v>2.30031</v>
      </c>
    </row>
    <row r="37" spans="2:8" ht="15.75" customHeight="1">
      <c r="B37" s="51" t="s">
        <v>127</v>
      </c>
      <c r="C37" s="56" t="s">
        <v>128</v>
      </c>
      <c r="D37" s="57"/>
      <c r="E37" s="57"/>
      <c r="F37" s="57"/>
      <c r="G37" s="76"/>
      <c r="H37" s="40">
        <f>2.03414+0.24543</f>
        <v>2.2795699999999997</v>
      </c>
    </row>
    <row r="38" spans="1:8" ht="12.75">
      <c r="A38" s="9"/>
      <c r="B38" s="52" t="s">
        <v>132</v>
      </c>
      <c r="C38" s="60" t="s">
        <v>133</v>
      </c>
      <c r="D38" s="61"/>
      <c r="E38" s="61"/>
      <c r="H38" s="30">
        <v>0.19</v>
      </c>
    </row>
    <row r="39" spans="2:8" ht="15.75" customHeight="1">
      <c r="B39" s="52" t="s">
        <v>132</v>
      </c>
      <c r="C39" s="56" t="s">
        <v>136</v>
      </c>
      <c r="D39" s="57"/>
      <c r="E39" s="57"/>
      <c r="F39" s="57"/>
      <c r="G39" s="57"/>
      <c r="H39" s="40">
        <v>0.151</v>
      </c>
    </row>
    <row r="40" spans="2:8" ht="15.75" customHeight="1">
      <c r="B40" s="52" t="s">
        <v>134</v>
      </c>
      <c r="C40" s="56" t="s">
        <v>140</v>
      </c>
      <c r="D40" s="57"/>
      <c r="E40" s="57"/>
      <c r="F40" s="57"/>
      <c r="G40" s="57"/>
      <c r="H40" s="40">
        <v>0.86133</v>
      </c>
    </row>
    <row r="41" spans="2:8" ht="15.75" customHeight="1">
      <c r="B41" s="52" t="s">
        <v>134</v>
      </c>
      <c r="C41" s="56" t="s">
        <v>141</v>
      </c>
      <c r="D41" s="57"/>
      <c r="E41" s="57"/>
      <c r="F41" s="57"/>
      <c r="G41" s="57"/>
      <c r="H41" s="40">
        <v>0.5525</v>
      </c>
    </row>
    <row r="42" spans="2:8" ht="15.75" customHeight="1">
      <c r="B42" s="52" t="s">
        <v>134</v>
      </c>
      <c r="C42" s="56" t="s">
        <v>142</v>
      </c>
      <c r="D42" s="57"/>
      <c r="E42" s="57"/>
      <c r="F42" s="57"/>
      <c r="G42" s="57"/>
      <c r="H42" s="40">
        <v>0.572</v>
      </c>
    </row>
    <row r="43" spans="2:8" ht="15.75" customHeight="1">
      <c r="B43" s="52" t="s">
        <v>172</v>
      </c>
      <c r="C43" s="126" t="s">
        <v>77</v>
      </c>
      <c r="D43" s="127"/>
      <c r="E43" s="127"/>
      <c r="F43" s="127"/>
      <c r="G43" s="127"/>
      <c r="H43" s="40">
        <v>15.56</v>
      </c>
    </row>
    <row r="44" spans="2:8" ht="15.75" customHeight="1">
      <c r="B44" s="52" t="s">
        <v>161</v>
      </c>
      <c r="C44" s="56" t="s">
        <v>187</v>
      </c>
      <c r="D44" s="57"/>
      <c r="E44" s="57"/>
      <c r="F44" s="57"/>
      <c r="G44" s="57"/>
      <c r="H44" s="40">
        <v>2.64369</v>
      </c>
    </row>
    <row r="45" spans="2:8" ht="15.75" customHeight="1">
      <c r="B45" s="52" t="s">
        <v>161</v>
      </c>
      <c r="C45" s="110" t="s">
        <v>188</v>
      </c>
      <c r="D45" s="57"/>
      <c r="E45" s="57"/>
      <c r="F45" s="57"/>
      <c r="G45" s="57"/>
      <c r="H45" s="40">
        <v>0.80754</v>
      </c>
    </row>
    <row r="46" spans="2:8" ht="15.75" customHeight="1">
      <c r="B46" s="52" t="s">
        <v>157</v>
      </c>
      <c r="C46" s="56" t="s">
        <v>173</v>
      </c>
      <c r="D46" s="57"/>
      <c r="E46" s="57"/>
      <c r="F46" s="57"/>
      <c r="G46" s="57"/>
      <c r="H46" s="40">
        <f>6.72989142857143-H47</f>
        <v>6.49078142857143</v>
      </c>
    </row>
    <row r="47" spans="2:8" ht="15.75" customHeight="1">
      <c r="B47" s="52" t="s">
        <v>157</v>
      </c>
      <c r="C47" s="56" t="s">
        <v>162</v>
      </c>
      <c r="D47" s="57"/>
      <c r="E47" s="57"/>
      <c r="F47" s="57"/>
      <c r="G47" s="57"/>
      <c r="H47" s="40">
        <v>0.23911</v>
      </c>
    </row>
    <row r="48" spans="2:8" ht="15.75" customHeight="1">
      <c r="B48" s="52"/>
      <c r="C48" s="56"/>
      <c r="D48" s="57"/>
      <c r="E48" s="57"/>
      <c r="F48" s="57"/>
      <c r="G48" s="57"/>
      <c r="H48" s="40"/>
    </row>
    <row r="49" spans="2:8" ht="15.75" customHeight="1">
      <c r="B49" s="52"/>
      <c r="C49" s="56"/>
      <c r="D49" s="57"/>
      <c r="E49" s="57"/>
      <c r="F49" s="57"/>
      <c r="G49" s="76"/>
      <c r="H49" s="40"/>
    </row>
    <row r="50" spans="2:8" s="2" customFormat="1" ht="12.75">
      <c r="B50" s="52"/>
      <c r="C50" s="126" t="s">
        <v>64</v>
      </c>
      <c r="D50" s="127"/>
      <c r="E50" s="127"/>
      <c r="F50" s="127"/>
      <c r="G50" s="135"/>
      <c r="H50" s="30">
        <f>SUM(H27:H49)</f>
        <v>53.07358142857142</v>
      </c>
    </row>
    <row r="51" spans="1:7" ht="12.75">
      <c r="A51" s="9"/>
      <c r="B51" s="9"/>
      <c r="C51" s="9"/>
      <c r="D51" s="9"/>
      <c r="E51" s="9"/>
      <c r="F51" s="9"/>
      <c r="G51" s="9"/>
    </row>
    <row r="52" spans="1:7" ht="68.25" customHeight="1">
      <c r="A52" s="129" t="s">
        <v>22</v>
      </c>
      <c r="B52" s="129"/>
      <c r="C52" s="31"/>
      <c r="D52" s="31"/>
      <c r="F52" s="9"/>
      <c r="G52" s="15" t="s">
        <v>148</v>
      </c>
    </row>
    <row r="53" spans="1:8" ht="48" customHeight="1">
      <c r="A53" s="134" t="s">
        <v>9</v>
      </c>
      <c r="B53" s="134"/>
      <c r="C53" s="15"/>
      <c r="D53" s="15"/>
      <c r="F53" s="9"/>
      <c r="G53" s="15" t="s">
        <v>197</v>
      </c>
      <c r="H53" s="1"/>
    </row>
    <row r="54" spans="1:9" ht="12.75">
      <c r="A54" s="9"/>
      <c r="B54" s="15"/>
      <c r="C54" s="15"/>
      <c r="D54" s="15"/>
      <c r="E54" s="15"/>
      <c r="F54" s="9"/>
      <c r="G54" s="9"/>
      <c r="H54" s="1"/>
      <c r="I54" s="5"/>
    </row>
    <row r="55" spans="1:9" ht="12.75">
      <c r="A55" s="9"/>
      <c r="B55" s="9"/>
      <c r="C55" s="9"/>
      <c r="D55" s="9"/>
      <c r="E55" s="9"/>
      <c r="F55" s="9"/>
      <c r="G55" s="9"/>
      <c r="H55" s="8"/>
      <c r="I55" s="1"/>
    </row>
    <row r="56" spans="1:9" s="2" customFormat="1" ht="12.75">
      <c r="A56" s="15"/>
      <c r="B56" s="15"/>
      <c r="C56" s="15"/>
      <c r="D56" s="15"/>
      <c r="E56" s="15"/>
      <c r="F56" s="15"/>
      <c r="G56" s="15"/>
      <c r="H56" s="8"/>
      <c r="I56" s="7"/>
    </row>
    <row r="57" spans="8:9" s="9" customFormat="1" ht="12.75">
      <c r="H57"/>
      <c r="I57" s="7"/>
    </row>
    <row r="58" spans="1:9" s="9" customFormat="1" ht="12.75">
      <c r="A58" s="11" t="s">
        <v>11</v>
      </c>
      <c r="I58" s="7"/>
    </row>
    <row r="59" spans="1:8" ht="12.75">
      <c r="A59" s="9" t="s">
        <v>21</v>
      </c>
      <c r="C59" s="9"/>
      <c r="D59" s="9"/>
      <c r="E59" s="9"/>
      <c r="F59" s="9"/>
      <c r="G59" s="9"/>
      <c r="H59" s="9"/>
    </row>
    <row r="60" s="9" customFormat="1" ht="12.75">
      <c r="A60" s="9" t="s">
        <v>90</v>
      </c>
    </row>
    <row r="61" s="9" customFormat="1" ht="12.75"/>
    <row r="62" spans="3:4" s="9" customFormat="1" ht="12.75">
      <c r="C62" s="11"/>
      <c r="D62" s="11"/>
    </row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>
      <c r="H71"/>
    </row>
    <row r="72" s="9" customFormat="1" ht="12.75">
      <c r="H72"/>
    </row>
  </sheetData>
  <sheetProtection/>
  <mergeCells count="15">
    <mergeCell ref="C43:G43"/>
    <mergeCell ref="C28:G28"/>
    <mergeCell ref="C29:G29"/>
    <mergeCell ref="C32:G32"/>
    <mergeCell ref="C35:G35"/>
    <mergeCell ref="A53:B53"/>
    <mergeCell ref="C30:G30"/>
    <mergeCell ref="C31:G31"/>
    <mergeCell ref="C50:G50"/>
    <mergeCell ref="A6:F6"/>
    <mergeCell ref="B7:F7"/>
    <mergeCell ref="A8:F8"/>
    <mergeCell ref="A52:B52"/>
    <mergeCell ref="C27:G27"/>
    <mergeCell ref="C26:G26"/>
  </mergeCells>
  <printOptions/>
  <pageMargins left="0.61" right="0" top="0.984251968503937" bottom="0.984251968503937" header="0.5118110236220472" footer="0.5118110236220472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5:O57"/>
  <sheetViews>
    <sheetView view="pageBreakPreview" zoomScaleSheetLayoutView="100" zoomScalePageLayoutView="0" workbookViewId="0" topLeftCell="A25">
      <selection activeCell="F38" sqref="F38"/>
    </sheetView>
  </sheetViews>
  <sheetFormatPr defaultColWidth="9.00390625" defaultRowHeight="12.75"/>
  <cols>
    <col min="1" max="1" width="9.00390625" style="0" customWidth="1"/>
    <col min="2" max="2" width="42.00390625" style="0" customWidth="1"/>
    <col min="3" max="3" width="11.375" style="0" customWidth="1"/>
    <col min="4" max="4" width="9.625" style="0" customWidth="1"/>
    <col min="5" max="6" width="11.125" style="0" customWidth="1"/>
  </cols>
  <sheetData>
    <row r="5" spans="1:5" ht="26.25">
      <c r="A5" s="117" t="s">
        <v>3</v>
      </c>
      <c r="B5" s="117"/>
      <c r="C5" s="117"/>
      <c r="D5" s="117"/>
      <c r="E5" s="117"/>
    </row>
    <row r="7" spans="1:6" s="2" customFormat="1" ht="15.75">
      <c r="A7" s="32"/>
      <c r="B7" s="118" t="s">
        <v>23</v>
      </c>
      <c r="C7" s="118"/>
      <c r="D7" s="118"/>
      <c r="E7" s="118"/>
      <c r="F7" s="21"/>
    </row>
    <row r="8" spans="1:6" s="2" customFormat="1" ht="15.75">
      <c r="A8" s="118" t="s">
        <v>174</v>
      </c>
      <c r="B8" s="118"/>
      <c r="C8" s="118"/>
      <c r="D8" s="118"/>
      <c r="E8" s="118"/>
      <c r="F8" s="21"/>
    </row>
    <row r="9" s="2" customFormat="1" ht="12.75">
      <c r="B9" s="22"/>
    </row>
    <row r="10" spans="2:6" s="2" customFormat="1" ht="12.75">
      <c r="B10" s="21"/>
      <c r="C10" s="21"/>
      <c r="D10" s="21"/>
      <c r="E10" s="21"/>
      <c r="F10" s="21"/>
    </row>
    <row r="11" s="2" customFormat="1" ht="12.75">
      <c r="B11" s="1"/>
    </row>
    <row r="12" ht="13.5" thickBot="1">
      <c r="F12" t="s">
        <v>165</v>
      </c>
    </row>
    <row r="13" spans="1:7" s="4" customFormat="1" ht="48.75" customHeight="1">
      <c r="A13" s="3" t="s">
        <v>0</v>
      </c>
      <c r="B13" s="17" t="s">
        <v>1</v>
      </c>
      <c r="C13" s="18" t="s">
        <v>31</v>
      </c>
      <c r="D13" s="18" t="s">
        <v>26</v>
      </c>
      <c r="E13" s="18" t="s">
        <v>40</v>
      </c>
      <c r="F13" s="18" t="s">
        <v>52</v>
      </c>
      <c r="G13" s="18" t="s">
        <v>88</v>
      </c>
    </row>
    <row r="14" spans="1:7" ht="12.75">
      <c r="A14" s="6">
        <v>1</v>
      </c>
      <c r="B14" s="13" t="s">
        <v>12</v>
      </c>
      <c r="C14" s="36">
        <f>258.6129/1.18</f>
        <v>219.16347457627123</v>
      </c>
      <c r="D14" s="36">
        <f>443.72803/1.18</f>
        <v>376.0407033898305</v>
      </c>
      <c r="E14" s="34">
        <f>443.75781/1.18</f>
        <v>376.0659406779661</v>
      </c>
      <c r="F14" s="34">
        <f>'[8]07.12'!$W$13/1.18/1000</f>
        <v>188.0328813559322</v>
      </c>
      <c r="G14" s="34">
        <f>E14+F14++D14+C14</f>
        <v>1159.303</v>
      </c>
    </row>
    <row r="15" spans="1:7" ht="12.75">
      <c r="A15" s="6">
        <v>2</v>
      </c>
      <c r="B15" s="13" t="s">
        <v>13</v>
      </c>
      <c r="C15" s="39">
        <f>206.18897/1.18</f>
        <v>174.7364152542373</v>
      </c>
      <c r="D15" s="39">
        <f>418.85709/1.18</f>
        <v>354.9636355932204</v>
      </c>
      <c r="E15" s="30">
        <f>435.48385/1.18</f>
        <v>369.05411016949154</v>
      </c>
      <c r="F15" s="30">
        <f>'[8]07.12'!$X$13/1.18/1000</f>
        <v>240.58553389830516</v>
      </c>
      <c r="G15" s="34">
        <f>E15+F15+D15+C15</f>
        <v>1139.3396949152543</v>
      </c>
    </row>
    <row r="16" spans="1:7" ht="25.5">
      <c r="A16" s="6">
        <v>3</v>
      </c>
      <c r="B16" s="20" t="s">
        <v>175</v>
      </c>
      <c r="C16" s="30">
        <f>(C14-C15)*1.18</f>
        <v>52.42393000000003</v>
      </c>
      <c r="D16" s="33">
        <f>(D14-D15)*1.18+C16</f>
        <v>77.29487</v>
      </c>
      <c r="E16" s="33">
        <f>(E14-E15)*1.18+D16</f>
        <v>85.56883000000002</v>
      </c>
      <c r="F16" s="30">
        <f>(F14-F15)*1.18+E16+F17</f>
        <v>23.556699999999935</v>
      </c>
      <c r="G16" s="30">
        <f>(G14-G15)*1.18</f>
        <v>23.556700000000042</v>
      </c>
    </row>
    <row r="17" spans="1:7" ht="12.75">
      <c r="A17" s="6"/>
      <c r="B17" s="12"/>
      <c r="C17" s="19"/>
      <c r="D17" s="19"/>
      <c r="E17" s="23"/>
      <c r="F17" s="42"/>
      <c r="G17" s="52"/>
    </row>
    <row r="18" spans="1:15" ht="31.5" customHeight="1">
      <c r="A18" s="6">
        <v>4</v>
      </c>
      <c r="B18" s="20" t="s">
        <v>2</v>
      </c>
      <c r="C18" s="30">
        <f>SUM(C19:C25)</f>
        <v>166.02996237584068</v>
      </c>
      <c r="D18" s="30">
        <f>SUM(D19:D25)</f>
        <v>386.97160229155935</v>
      </c>
      <c r="E18" s="30">
        <f>SUM(E19:E25)</f>
        <v>436.21407775778107</v>
      </c>
      <c r="F18" s="30">
        <f>SUM(F19:F25)</f>
        <v>275.6773404196182</v>
      </c>
      <c r="G18" s="34">
        <f>E18+F18+D18+C18</f>
        <v>1264.8929828447995</v>
      </c>
      <c r="H18" s="68"/>
      <c r="I18" s="68"/>
      <c r="J18" s="68"/>
      <c r="K18" s="68"/>
      <c r="L18" s="68"/>
      <c r="M18" s="68"/>
      <c r="N18" s="68"/>
      <c r="O18" s="68"/>
    </row>
    <row r="19" spans="1:7" ht="12.75">
      <c r="A19" s="29" t="s">
        <v>14</v>
      </c>
      <c r="B19" s="12" t="s">
        <v>4</v>
      </c>
      <c r="C19" s="30">
        <f>'[3]кв3.д1'!$AT$44</f>
        <v>31.31817</v>
      </c>
      <c r="D19" s="30">
        <f>'[4]кв3.д1'!$AT$45</f>
        <v>48.9292171222</v>
      </c>
      <c r="E19" s="40">
        <f>'[1]кв3.д1'!$AT$45</f>
        <v>60.140287</v>
      </c>
      <c r="F19" s="40">
        <f>'[5]кв3.д1'!$AT$45</f>
        <v>9.14898</v>
      </c>
      <c r="G19" s="34">
        <f aca="true" t="shared" si="0" ref="G19:G24">E19+F19+D19+C19</f>
        <v>149.5366541222</v>
      </c>
    </row>
    <row r="20" spans="1:7" ht="12.75">
      <c r="A20" s="29" t="s">
        <v>15</v>
      </c>
      <c r="B20" s="12" t="s">
        <v>19</v>
      </c>
      <c r="C20" s="30">
        <f>'[3]кв3.д1'!$AT$51+'[3]кв3.д1'!$AT$55</f>
        <v>53.45954106789999</v>
      </c>
      <c r="D20" s="28">
        <f>'[4]кв3.д1'!$AT$54+'[4]кв3.д1'!$AT$58</f>
        <v>187.8818006424629</v>
      </c>
      <c r="E20" s="30">
        <f>'[1]кв3.д1'!$AT$54+'[1]кв3.д1'!$AT$58</f>
        <v>221.7715788865508</v>
      </c>
      <c r="F20" s="30">
        <f>'[5]кв3.д1'!$AT$54+'[5]кв3.д1'!$AT$58</f>
        <v>175.4801632903979</v>
      </c>
      <c r="G20" s="34">
        <f t="shared" si="0"/>
        <v>638.5930838873115</v>
      </c>
    </row>
    <row r="21" spans="1:7" ht="12.75">
      <c r="A21" s="29" t="s">
        <v>16</v>
      </c>
      <c r="B21" s="12" t="s">
        <v>5</v>
      </c>
      <c r="C21" s="30">
        <f>'[3]кв3.д1'!$AT$83</f>
        <v>34.38815</v>
      </c>
      <c r="D21" s="30">
        <f>'[4]кв3.д1'!$AT$81</f>
        <v>59.08359157786686</v>
      </c>
      <c r="E21" s="30">
        <f>'[1]кв3.д1'!$AT$81</f>
        <v>65.95766800000001</v>
      </c>
      <c r="F21" s="30">
        <f>'[5]кв3.д1'!$AT$81</f>
        <v>32.955678</v>
      </c>
      <c r="G21" s="34">
        <f t="shared" si="0"/>
        <v>192.38508757786687</v>
      </c>
    </row>
    <row r="22" spans="1:7" ht="12.75">
      <c r="A22" s="29" t="s">
        <v>17</v>
      </c>
      <c r="B22" s="12" t="s">
        <v>6</v>
      </c>
      <c r="C22" s="30">
        <f>'[3]кв3.д1'!$AT$84</f>
        <v>2.04573894</v>
      </c>
      <c r="D22" s="30">
        <f>'[4]кв3.д1'!$AT$83</f>
        <v>9.5546</v>
      </c>
      <c r="E22" s="30">
        <f>'[1]кв3.д1'!$AT$83</f>
        <v>5.318046000163386</v>
      </c>
      <c r="F22" s="30">
        <f>'[5]кв3.д1'!$AT$83</f>
        <v>12.993383706360262</v>
      </c>
      <c r="G22" s="34">
        <f t="shared" si="0"/>
        <v>29.911768646523647</v>
      </c>
    </row>
    <row r="23" spans="1:7" ht="12.75">
      <c r="A23" s="29" t="s">
        <v>18</v>
      </c>
      <c r="B23" s="12" t="s">
        <v>7</v>
      </c>
      <c r="C23" s="30">
        <f>'[3]кв3.д1'!$AT$124</f>
        <v>8.6803711815</v>
      </c>
      <c r="D23" s="30">
        <f>'[4]кв3.д1'!$AT$123</f>
        <v>24.869041362777256</v>
      </c>
      <c r="E23" s="30">
        <f>'[1]кв3.д1'!$AT$123</f>
        <v>26.405815769371955</v>
      </c>
      <c r="F23" s="30">
        <f>'[5]кв3.д1'!$AT$123</f>
        <v>16.31207610408554</v>
      </c>
      <c r="G23" s="34">
        <f t="shared" si="0"/>
        <v>76.26730441773475</v>
      </c>
    </row>
    <row r="24" spans="1:7" ht="12.75">
      <c r="A24" s="29" t="s">
        <v>20</v>
      </c>
      <c r="B24" s="41" t="s">
        <v>24</v>
      </c>
      <c r="C24" s="30">
        <f>'[3]кв3.д1'!$AT$82</f>
        <v>3.2634700000000003</v>
      </c>
      <c r="D24" s="30">
        <f>'[4]кв3.д1'!$AT$78+'[4]кв3.д1'!$AT$75+'[4]кв3.д1'!$AT$68+'[4]кв3.д1'!$AT$63</f>
        <v>0.2472460777777778</v>
      </c>
      <c r="E24" s="30">
        <f>'[1]кв3.д1'!$AT$79+'[1]кв3.д1'!$AT$78+'[1]кв3.д1'!$AT$68</f>
        <v>0.210791</v>
      </c>
      <c r="F24" s="30">
        <f>'[5]кв3.д1'!$AT$66-'[5]кв3.д1'!$AT$81</f>
        <v>0.5821271153846155</v>
      </c>
      <c r="G24" s="34">
        <f t="shared" si="0"/>
        <v>4.303634193162393</v>
      </c>
    </row>
    <row r="25" spans="1:7" ht="13.5" thickBot="1">
      <c r="A25" s="29" t="s">
        <v>86</v>
      </c>
      <c r="B25" s="24" t="s">
        <v>87</v>
      </c>
      <c r="C25" s="30">
        <f>C14*15%</f>
        <v>32.87452118644068</v>
      </c>
      <c r="D25" s="30">
        <f>D14*15%</f>
        <v>56.406105508474575</v>
      </c>
      <c r="E25" s="30">
        <f>E14*15%</f>
        <v>56.40989110169492</v>
      </c>
      <c r="F25" s="30">
        <f>F14*15%</f>
        <v>28.20493220338983</v>
      </c>
      <c r="G25" s="30">
        <f>G14*15%</f>
        <v>173.89545</v>
      </c>
    </row>
    <row r="26" spans="1:7" ht="13.5" thickBot="1">
      <c r="A26" s="25"/>
      <c r="B26" s="26"/>
      <c r="C26" s="27"/>
      <c r="D26" s="27"/>
      <c r="E26" s="27"/>
      <c r="F26" s="27"/>
      <c r="G26" s="27"/>
    </row>
    <row r="27" spans="1:6" ht="12.75">
      <c r="A27" s="9"/>
      <c r="B27" s="9"/>
      <c r="C27" s="9"/>
      <c r="D27" s="9"/>
      <c r="E27" s="9"/>
      <c r="F27" s="9"/>
    </row>
    <row r="28" spans="1:7" ht="16.5">
      <c r="A28" s="55" t="s">
        <v>63</v>
      </c>
      <c r="B28" s="55"/>
      <c r="C28" s="55"/>
      <c r="D28" s="55"/>
      <c r="E28" s="55"/>
      <c r="F28" s="55"/>
      <c r="G28" s="55"/>
    </row>
    <row r="29" spans="1:6" ht="24.75" customHeight="1">
      <c r="A29" s="64" t="s">
        <v>65</v>
      </c>
      <c r="B29" s="130" t="s">
        <v>66</v>
      </c>
      <c r="C29" s="131"/>
      <c r="D29" s="131"/>
      <c r="E29" s="132"/>
      <c r="F29" s="62" t="s">
        <v>67</v>
      </c>
    </row>
    <row r="30" spans="1:6" ht="25.5" customHeight="1">
      <c r="A30" s="51" t="s">
        <v>60</v>
      </c>
      <c r="B30" s="126" t="s">
        <v>78</v>
      </c>
      <c r="C30" s="127"/>
      <c r="D30" s="127"/>
      <c r="E30" s="135"/>
      <c r="F30" s="40">
        <v>6.71766</v>
      </c>
    </row>
    <row r="31" spans="1:6" ht="19.5" customHeight="1">
      <c r="A31" s="51" t="s">
        <v>55</v>
      </c>
      <c r="B31" s="126" t="s">
        <v>79</v>
      </c>
      <c r="C31" s="127"/>
      <c r="D31" s="127"/>
      <c r="E31" s="135"/>
      <c r="F31" s="40">
        <v>0.06246</v>
      </c>
    </row>
    <row r="32" spans="1:6" ht="18.75" customHeight="1">
      <c r="A32" s="51" t="s">
        <v>55</v>
      </c>
      <c r="B32" s="126" t="s">
        <v>80</v>
      </c>
      <c r="C32" s="127"/>
      <c r="D32" s="127"/>
      <c r="E32" s="135"/>
      <c r="F32" s="40">
        <v>0.39243</v>
      </c>
    </row>
    <row r="33" spans="1:6" ht="15.75" customHeight="1">
      <c r="A33" s="51" t="s">
        <v>129</v>
      </c>
      <c r="B33" s="126" t="s">
        <v>130</v>
      </c>
      <c r="C33" s="127"/>
      <c r="D33" s="127"/>
      <c r="E33" s="135"/>
      <c r="F33" s="40">
        <v>1.51947</v>
      </c>
    </row>
    <row r="34" spans="1:6" ht="15.75" customHeight="1">
      <c r="A34" s="51" t="s">
        <v>129</v>
      </c>
      <c r="B34" s="126" t="s">
        <v>131</v>
      </c>
      <c r="C34" s="127"/>
      <c r="D34" s="127"/>
      <c r="E34" s="135"/>
      <c r="F34" s="40">
        <f>0.25903+0.19793</f>
        <v>0.45696</v>
      </c>
    </row>
    <row r="35" spans="1:7" s="2" customFormat="1" ht="12.75">
      <c r="A35" s="52"/>
      <c r="B35" s="139" t="s">
        <v>64</v>
      </c>
      <c r="C35" s="140"/>
      <c r="D35" s="140"/>
      <c r="E35" s="141"/>
      <c r="F35" s="54">
        <f>SUM(F30:F34)</f>
        <v>9.14898</v>
      </c>
      <c r="G35"/>
    </row>
    <row r="36" spans="1:6" ht="12.75">
      <c r="A36" s="9"/>
      <c r="B36" s="9"/>
      <c r="C36" s="9"/>
      <c r="D36" s="9"/>
      <c r="E36" s="9"/>
      <c r="F36" s="9"/>
    </row>
    <row r="37" spans="1:6" ht="68.25" customHeight="1">
      <c r="A37" s="129" t="s">
        <v>22</v>
      </c>
      <c r="B37" s="129"/>
      <c r="C37" s="31"/>
      <c r="E37" s="9"/>
      <c r="F37" s="15" t="s">
        <v>148</v>
      </c>
    </row>
    <row r="38" spans="1:7" ht="48" customHeight="1">
      <c r="A38" s="134" t="s">
        <v>9</v>
      </c>
      <c r="B38" s="134"/>
      <c r="C38" s="15"/>
      <c r="E38" s="9"/>
      <c r="F38" s="15" t="s">
        <v>197</v>
      </c>
      <c r="G38" s="1"/>
    </row>
    <row r="39" spans="1:7" ht="12.75">
      <c r="A39" s="9"/>
      <c r="B39" s="15"/>
      <c r="C39" s="15"/>
      <c r="D39" s="15"/>
      <c r="E39" s="9"/>
      <c r="F39" s="9"/>
      <c r="G39" s="1"/>
    </row>
    <row r="40" spans="1:7" ht="12.75">
      <c r="A40" s="9"/>
      <c r="B40" s="9"/>
      <c r="C40" s="9"/>
      <c r="D40" s="9"/>
      <c r="E40" s="9"/>
      <c r="F40" s="9"/>
      <c r="G40" s="8"/>
    </row>
    <row r="41" spans="1:7" s="2" customFormat="1" ht="12.75">
      <c r="A41" s="15"/>
      <c r="B41" s="15"/>
      <c r="C41" s="15"/>
      <c r="D41" s="15"/>
      <c r="E41" s="15"/>
      <c r="F41" s="15"/>
      <c r="G41" s="8"/>
    </row>
    <row r="42" s="9" customFormat="1" ht="12.75">
      <c r="G42"/>
    </row>
    <row r="43" s="9" customFormat="1" ht="12.75"/>
    <row r="44" spans="1:7" ht="12.75">
      <c r="A44" s="9"/>
      <c r="B44" s="9"/>
      <c r="C44" s="9"/>
      <c r="D44" s="9"/>
      <c r="E44" s="9"/>
      <c r="F44" s="9"/>
      <c r="G44" s="9"/>
    </row>
    <row r="45" s="9" customFormat="1" ht="12.75"/>
    <row r="46" s="9" customFormat="1" ht="12.75"/>
    <row r="47" spans="1:3" s="9" customFormat="1" ht="12.75">
      <c r="A47" s="11" t="s">
        <v>11</v>
      </c>
      <c r="C47" s="11"/>
    </row>
    <row r="48" s="9" customFormat="1" ht="12.75">
      <c r="A48" s="9" t="s">
        <v>21</v>
      </c>
    </row>
    <row r="49" s="9" customFormat="1" ht="12.75">
      <c r="A49" s="9" t="s">
        <v>90</v>
      </c>
    </row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>
      <c r="G56"/>
    </row>
    <row r="57" s="9" customFormat="1" ht="12.75">
      <c r="G57"/>
    </row>
  </sheetData>
  <sheetProtection/>
  <mergeCells count="12">
    <mergeCell ref="B34:E34"/>
    <mergeCell ref="B33:E33"/>
    <mergeCell ref="A5:E5"/>
    <mergeCell ref="B7:E7"/>
    <mergeCell ref="A8:E8"/>
    <mergeCell ref="A37:B37"/>
    <mergeCell ref="A38:B38"/>
    <mergeCell ref="B32:E32"/>
    <mergeCell ref="B31:E31"/>
    <mergeCell ref="B30:E30"/>
    <mergeCell ref="B29:E29"/>
    <mergeCell ref="B35:E35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O57"/>
  <sheetViews>
    <sheetView view="pageBreakPreview" zoomScaleSheetLayoutView="100" zoomScalePageLayoutView="0" workbookViewId="0" topLeftCell="A4">
      <selection activeCell="A9" sqref="A9"/>
    </sheetView>
  </sheetViews>
  <sheetFormatPr defaultColWidth="9.00390625" defaultRowHeight="12.75"/>
  <cols>
    <col min="1" max="1" width="8.875" style="0" customWidth="1"/>
    <col min="2" max="2" width="42.00390625" style="0" customWidth="1"/>
    <col min="3" max="3" width="9.625" style="0" customWidth="1"/>
    <col min="4" max="5" width="11.125" style="0" customWidth="1"/>
    <col min="7" max="7" width="9.625" style="0" bestFit="1" customWidth="1"/>
  </cols>
  <sheetData>
    <row r="5" spans="1:4" ht="26.25">
      <c r="A5" s="117" t="s">
        <v>3</v>
      </c>
      <c r="B5" s="117"/>
      <c r="C5" s="117"/>
      <c r="D5" s="117"/>
    </row>
    <row r="7" spans="1:5" s="2" customFormat="1" ht="15.75">
      <c r="A7" s="32"/>
      <c r="B7" s="118" t="s">
        <v>23</v>
      </c>
      <c r="C7" s="118"/>
      <c r="D7" s="118"/>
      <c r="E7" s="21"/>
    </row>
    <row r="8" spans="1:5" s="2" customFormat="1" ht="15.75">
      <c r="A8" s="118" t="s">
        <v>205</v>
      </c>
      <c r="B8" s="118"/>
      <c r="C8" s="118"/>
      <c r="D8" s="118"/>
      <c r="E8" s="21"/>
    </row>
    <row r="9" s="2" customFormat="1" ht="12.75">
      <c r="B9" s="22"/>
    </row>
    <row r="10" spans="2:5" s="2" customFormat="1" ht="12.75">
      <c r="B10" s="21"/>
      <c r="C10" s="21"/>
      <c r="D10" s="21"/>
      <c r="E10" s="21"/>
    </row>
    <row r="11" s="2" customFormat="1" ht="12.75">
      <c r="B11" s="1"/>
    </row>
    <row r="12" ht="13.5" thickBot="1">
      <c r="E12" t="s">
        <v>192</v>
      </c>
    </row>
    <row r="13" spans="1:6" s="4" customFormat="1" ht="48.75" customHeight="1">
      <c r="A13" s="3" t="s">
        <v>0</v>
      </c>
      <c r="B13" s="17" t="s">
        <v>1</v>
      </c>
      <c r="C13" s="18" t="s">
        <v>33</v>
      </c>
      <c r="D13" s="18" t="s">
        <v>40</v>
      </c>
      <c r="E13" s="18" t="s">
        <v>52</v>
      </c>
      <c r="F13" s="18" t="s">
        <v>88</v>
      </c>
    </row>
    <row r="14" spans="1:6" ht="25.5">
      <c r="A14" s="6">
        <v>1</v>
      </c>
      <c r="B14" s="20" t="s">
        <v>193</v>
      </c>
      <c r="C14" s="44">
        <f>44.85701/1.18</f>
        <v>38.01441525423729</v>
      </c>
      <c r="D14" s="34">
        <f>134.67121/1.18</f>
        <v>114.12814406779661</v>
      </c>
      <c r="E14" s="34">
        <f>'[8]07.12'!$W$14/1.18/1000</f>
        <v>136.58925423728812</v>
      </c>
      <c r="F14" s="34">
        <f>C14+D14+E14</f>
        <v>288.731813559322</v>
      </c>
    </row>
    <row r="15" spans="1:6" ht="25.5">
      <c r="A15" s="6">
        <v>2</v>
      </c>
      <c r="B15" s="20" t="s">
        <v>199</v>
      </c>
      <c r="C15" s="44">
        <f>31.49542/1.18</f>
        <v>26.691033898305086</v>
      </c>
      <c r="D15" s="30">
        <f>133.71546/1.18</f>
        <v>113.31818644067798</v>
      </c>
      <c r="E15" s="30">
        <f>'[8]07.12'!$X$14/1.18/1000</f>
        <v>133.26457627118643</v>
      </c>
      <c r="F15" s="34">
        <f>C15+D15+E15</f>
        <v>273.2737966101695</v>
      </c>
    </row>
    <row r="16" spans="1:6" ht="25.5">
      <c r="A16" s="6">
        <v>3</v>
      </c>
      <c r="B16" s="20" t="s">
        <v>194</v>
      </c>
      <c r="C16" s="30">
        <f>(C14-C15)*1.18</f>
        <v>13.361590000000001</v>
      </c>
      <c r="D16" s="30">
        <f>(D14-D15)*1.18+C16</f>
        <v>14.31733999999999</v>
      </c>
      <c r="E16" s="30">
        <f>(E14-E15)*1.18+D16+E17</f>
        <v>18.240459999999985</v>
      </c>
      <c r="F16" s="30">
        <f>(F14-F15)*1.18</f>
        <v>18.240459999999974</v>
      </c>
    </row>
    <row r="17" spans="1:6" ht="12.75">
      <c r="A17" s="6"/>
      <c r="B17" s="12"/>
      <c r="C17" s="19"/>
      <c r="D17" s="23"/>
      <c r="E17" s="69"/>
      <c r="F17" s="52"/>
    </row>
    <row r="18" spans="1:15" ht="31.5" customHeight="1">
      <c r="A18" s="6">
        <v>4</v>
      </c>
      <c r="B18" s="20" t="s">
        <v>2</v>
      </c>
      <c r="C18" s="30">
        <f>SUM(C19:C25)</f>
        <v>40.458758918227005</v>
      </c>
      <c r="D18" s="30">
        <f>SUM(D19:D25)</f>
        <v>265.13934333836073</v>
      </c>
      <c r="E18" s="70">
        <f>SUM(E19:E25)</f>
        <v>200.1433417898367</v>
      </c>
      <c r="F18" s="30">
        <f aca="true" t="shared" si="0" ref="F18:F24">E18+D18+C18</f>
        <v>505.7414440464245</v>
      </c>
      <c r="G18" s="68"/>
      <c r="H18" s="68"/>
      <c r="I18" s="68"/>
      <c r="J18" s="68"/>
      <c r="K18" s="68"/>
      <c r="L18" s="68"/>
      <c r="M18" s="68"/>
      <c r="N18" s="68"/>
      <c r="O18" s="68"/>
    </row>
    <row r="19" spans="1:6" ht="12.75">
      <c r="A19" s="29" t="s">
        <v>14</v>
      </c>
      <c r="B19" s="12" t="s">
        <v>4</v>
      </c>
      <c r="C19" s="30">
        <f>'[4]кв.4д8'!$AT$45</f>
        <v>2.392307122200003</v>
      </c>
      <c r="D19" s="40">
        <f>'[1]кв.4д8'!$AT$45</f>
        <v>49.048287</v>
      </c>
      <c r="E19" s="40">
        <f>'[5]кв.4д8'!$AT$45</f>
        <v>11.669979999999999</v>
      </c>
      <c r="F19" s="30">
        <f t="shared" si="0"/>
        <v>63.1105741222</v>
      </c>
    </row>
    <row r="20" spans="1:6" ht="12.75">
      <c r="A20" s="29" t="s">
        <v>15</v>
      </c>
      <c r="B20" s="12" t="s">
        <v>19</v>
      </c>
      <c r="C20" s="28">
        <f>'[4]кв.4д8'!$AT$54+'[4]кв.4д8'!$AT$58</f>
        <v>21.08120264954697</v>
      </c>
      <c r="D20" s="30">
        <f>'[1]кв.4д8'!$AT$54+'[1]кв.4д8'!$AT$58</f>
        <v>147.90604580812436</v>
      </c>
      <c r="E20" s="30">
        <f>'[5]кв.4д8'!$AT$54+'[5]кв.4д8'!$AT$58</f>
        <v>106.13528025105435</v>
      </c>
      <c r="F20" s="30">
        <f t="shared" si="0"/>
        <v>275.12252870872567</v>
      </c>
    </row>
    <row r="21" spans="1:6" ht="12.75">
      <c r="A21" s="29" t="s">
        <v>16</v>
      </c>
      <c r="B21" s="12" t="s">
        <v>5</v>
      </c>
      <c r="C21" s="30">
        <f>'[4]кв.4д8'!$AT$81</f>
        <v>8.671836443935813</v>
      </c>
      <c r="D21" s="30">
        <f>'[1]кв.4д8'!$AT$81</f>
        <v>21.9421494447205</v>
      </c>
      <c r="E21" s="30">
        <f>'[5]кв.4д8'!$AT$81</f>
        <v>39.54969929999999</v>
      </c>
      <c r="F21" s="30">
        <f t="shared" si="0"/>
        <v>70.1636851886563</v>
      </c>
    </row>
    <row r="22" spans="1:6" ht="12.75">
      <c r="A22" s="29" t="s">
        <v>17</v>
      </c>
      <c r="B22" s="12" t="s">
        <v>6</v>
      </c>
      <c r="C22" s="30">
        <f>'[4]кв.4д8'!$AT$83</f>
        <v>0.28860000000000063</v>
      </c>
      <c r="D22" s="30">
        <f>'[1]кв.4д8'!$AT$83</f>
        <v>4.7391583727232005</v>
      </c>
      <c r="E22" s="30">
        <f>'[5]кв.4д8'!$AT$83</f>
        <v>6.66582916109857</v>
      </c>
      <c r="F22" s="30">
        <f t="shared" si="0"/>
        <v>11.693587533821772</v>
      </c>
    </row>
    <row r="23" spans="1:6" ht="12.75">
      <c r="A23" s="29" t="s">
        <v>18</v>
      </c>
      <c r="B23" s="12" t="s">
        <v>7</v>
      </c>
      <c r="C23" s="30">
        <f>'[4]кв.4д8'!$AT$123</f>
        <v>2.1461043366308408</v>
      </c>
      <c r="D23" s="30">
        <f>'[1]кв.4д8'!$AT$123</f>
        <v>24.17369010262317</v>
      </c>
      <c r="E23" s="30">
        <f>'[5]кв.4д8'!$AT$123</f>
        <v>15.143464493372623</v>
      </c>
      <c r="F23" s="30">
        <f t="shared" si="0"/>
        <v>41.46325893262663</v>
      </c>
    </row>
    <row r="24" spans="1:6" ht="12.75">
      <c r="A24" s="29" t="s">
        <v>20</v>
      </c>
      <c r="B24" s="41" t="s">
        <v>24</v>
      </c>
      <c r="C24" s="30">
        <f>'[4]кв.4д8'!$AT$78+'[4]кв.4д8'!$AT$75+'[4]кв.4д8'!$AT$68+'[4]кв.4д8'!$AT$63</f>
        <v>0.17654607777777778</v>
      </c>
      <c r="D24" s="30">
        <f>'[1]кв.4д8'!$AT$79+'[1]кв.4д8'!$AT$78+'[1]кв.4д8'!$AT$68</f>
        <v>0.210791</v>
      </c>
      <c r="E24" s="30">
        <f>'[5]кв.4д8'!$AT$66-'[5]кв.4д8'!$AT$81</f>
        <v>0.49070044871795204</v>
      </c>
      <c r="F24" s="30">
        <f t="shared" si="0"/>
        <v>0.8780375264957297</v>
      </c>
    </row>
    <row r="25" spans="1:6" ht="13.5" thickBot="1">
      <c r="A25" s="29" t="s">
        <v>86</v>
      </c>
      <c r="B25" s="24" t="s">
        <v>87</v>
      </c>
      <c r="C25" s="30">
        <f>C14*15%</f>
        <v>5.702162288135594</v>
      </c>
      <c r="D25" s="30">
        <f>D14*15%</f>
        <v>17.11922161016949</v>
      </c>
      <c r="E25" s="30">
        <f>E14*15%</f>
        <v>20.488388135593215</v>
      </c>
      <c r="F25" s="30">
        <f>F14*15%</f>
        <v>43.3097720338983</v>
      </c>
    </row>
    <row r="26" spans="1:6" ht="13.5" thickBot="1">
      <c r="A26" s="25"/>
      <c r="B26" s="26"/>
      <c r="C26" s="27"/>
      <c r="D26" s="27"/>
      <c r="E26" s="27"/>
      <c r="F26" s="27"/>
    </row>
    <row r="27" spans="1:5" ht="12.75">
      <c r="A27" s="9"/>
      <c r="B27" s="9"/>
      <c r="C27" s="9"/>
      <c r="D27" s="9"/>
      <c r="E27" s="9"/>
    </row>
    <row r="28" spans="1:5" ht="16.5">
      <c r="A28" s="55" t="s">
        <v>63</v>
      </c>
      <c r="B28" s="55"/>
      <c r="C28" s="55"/>
      <c r="D28" s="55"/>
      <c r="E28" s="55"/>
    </row>
    <row r="29" spans="1:5" ht="24.75" customHeight="1">
      <c r="A29" s="64" t="s">
        <v>65</v>
      </c>
      <c r="B29" s="65" t="s">
        <v>66</v>
      </c>
      <c r="C29" s="66"/>
      <c r="D29" s="66"/>
      <c r="E29" s="62" t="s">
        <v>67</v>
      </c>
    </row>
    <row r="30" spans="1:5" ht="25.5" customHeight="1">
      <c r="A30" s="51" t="s">
        <v>60</v>
      </c>
      <c r="B30" s="60" t="s">
        <v>81</v>
      </c>
      <c r="C30" s="61"/>
      <c r="D30" s="61"/>
      <c r="E30" s="40">
        <v>1.76483</v>
      </c>
    </row>
    <row r="31" spans="1:5" ht="19.5" customHeight="1">
      <c r="A31" s="51" t="s">
        <v>55</v>
      </c>
      <c r="B31" s="60" t="s">
        <v>82</v>
      </c>
      <c r="C31" s="61"/>
      <c r="D31" s="61"/>
      <c r="E31" s="40">
        <v>4.08742</v>
      </c>
    </row>
    <row r="32" spans="1:5" ht="19.5" customHeight="1">
      <c r="A32" s="51" t="s">
        <v>129</v>
      </c>
      <c r="B32" s="60" t="s">
        <v>133</v>
      </c>
      <c r="C32" s="61"/>
      <c r="D32" s="61"/>
      <c r="E32" s="40">
        <v>0.19793</v>
      </c>
    </row>
    <row r="33" spans="1:5" ht="18.75" customHeight="1">
      <c r="A33" s="51" t="s">
        <v>157</v>
      </c>
      <c r="B33" s="60" t="s">
        <v>167</v>
      </c>
      <c r="C33" s="61"/>
      <c r="D33" s="61"/>
      <c r="E33" s="40">
        <v>4.9771214285714285</v>
      </c>
    </row>
    <row r="34" spans="1:5" ht="15.75" customHeight="1">
      <c r="A34" s="51"/>
      <c r="B34" s="60"/>
      <c r="C34" s="61"/>
      <c r="D34" s="61"/>
      <c r="E34" s="40"/>
    </row>
    <row r="35" spans="1:6" s="2" customFormat="1" ht="12.75">
      <c r="A35" s="52"/>
      <c r="B35" s="60" t="s">
        <v>64</v>
      </c>
      <c r="C35" s="61"/>
      <c r="D35" s="61"/>
      <c r="E35" s="54">
        <f>SUM(E30:E34)</f>
        <v>11.027301428571429</v>
      </c>
      <c r="F35"/>
    </row>
    <row r="36" spans="1:5" ht="12.75">
      <c r="A36" s="9"/>
      <c r="B36" s="9"/>
      <c r="C36" s="9"/>
      <c r="D36" s="9"/>
      <c r="E36" s="9"/>
    </row>
    <row r="37" spans="1:6" ht="68.25" customHeight="1">
      <c r="A37" s="129" t="s">
        <v>22</v>
      </c>
      <c r="B37" s="129"/>
      <c r="C37" s="31"/>
      <c r="E37" s="9"/>
      <c r="F37" s="15" t="s">
        <v>148</v>
      </c>
    </row>
    <row r="38" spans="1:8" ht="48" customHeight="1">
      <c r="A38" s="134" t="s">
        <v>9</v>
      </c>
      <c r="B38" s="134"/>
      <c r="C38" s="15"/>
      <c r="E38" s="9"/>
      <c r="F38" s="15" t="s">
        <v>197</v>
      </c>
      <c r="H38" s="1"/>
    </row>
    <row r="39" s="9" customFormat="1" ht="12.75">
      <c r="F39"/>
    </row>
    <row r="40" s="9" customFormat="1" ht="12.75">
      <c r="F40" s="1"/>
    </row>
    <row r="41" spans="1:6" s="9" customFormat="1" ht="12.75">
      <c r="A41" s="11" t="s">
        <v>11</v>
      </c>
      <c r="F41" s="1"/>
    </row>
    <row r="42" spans="1:6" s="9" customFormat="1" ht="12.75">
      <c r="A42" s="9" t="s">
        <v>21</v>
      </c>
      <c r="F42" s="8"/>
    </row>
    <row r="43" spans="1:6" s="9" customFormat="1" ht="12.75">
      <c r="A43" s="9" t="s">
        <v>90</v>
      </c>
      <c r="F43" s="8"/>
    </row>
    <row r="44" s="9" customFormat="1" ht="12.75">
      <c r="F44"/>
    </row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ht="12.75">
      <c r="F52" s="9"/>
    </row>
    <row r="53" ht="12.75">
      <c r="F53" s="9"/>
    </row>
    <row r="54" ht="12.75">
      <c r="F54" s="9"/>
    </row>
    <row r="55" ht="12.75">
      <c r="F55" s="9"/>
    </row>
    <row r="56" ht="12.75">
      <c r="F56" s="9"/>
    </row>
    <row r="57" ht="12.75">
      <c r="F57" s="9"/>
    </row>
  </sheetData>
  <sheetProtection/>
  <mergeCells count="5">
    <mergeCell ref="A5:D5"/>
    <mergeCell ref="B7:D7"/>
    <mergeCell ref="A8:D8"/>
    <mergeCell ref="A37:B37"/>
    <mergeCell ref="A38:B3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66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4.375" style="0" customWidth="1"/>
    <col min="2" max="2" width="34.875" style="0" customWidth="1"/>
    <col min="3" max="3" width="11.375" style="0" customWidth="1"/>
    <col min="4" max="4" width="9.625" style="0" customWidth="1"/>
    <col min="5" max="6" width="11.125" style="0" customWidth="1"/>
  </cols>
  <sheetData>
    <row r="2" spans="1:5" ht="26.25">
      <c r="A2" s="117" t="s">
        <v>3</v>
      </c>
      <c r="B2" s="117"/>
      <c r="C2" s="117"/>
      <c r="D2" s="117"/>
      <c r="E2" s="117"/>
    </row>
    <row r="4" spans="1:6" s="2" customFormat="1" ht="15.75">
      <c r="A4" s="32"/>
      <c r="B4" s="118" t="s">
        <v>23</v>
      </c>
      <c r="C4" s="118"/>
      <c r="D4" s="118"/>
      <c r="E4" s="118"/>
      <c r="F4" s="21"/>
    </row>
    <row r="5" spans="1:6" s="2" customFormat="1" ht="15.75">
      <c r="A5" s="118" t="s">
        <v>198</v>
      </c>
      <c r="B5" s="118"/>
      <c r="C5" s="118"/>
      <c r="D5" s="118"/>
      <c r="E5" s="118"/>
      <c r="F5" s="21"/>
    </row>
    <row r="6" s="2" customFormat="1" ht="12.75">
      <c r="B6" s="22"/>
    </row>
    <row r="7" spans="2:6" s="2" customFormat="1" ht="12.75">
      <c r="B7" s="21"/>
      <c r="C7" s="21"/>
      <c r="D7" s="21"/>
      <c r="E7" s="21"/>
      <c r="F7" s="21"/>
    </row>
    <row r="8" s="2" customFormat="1" ht="12.75">
      <c r="B8" s="1"/>
    </row>
    <row r="9" ht="13.5" thickBot="1">
      <c r="F9" t="s">
        <v>192</v>
      </c>
    </row>
    <row r="10" spans="1:7" s="4" customFormat="1" ht="48.75" customHeight="1">
      <c r="A10" s="3" t="s">
        <v>0</v>
      </c>
      <c r="B10" s="17" t="s">
        <v>1</v>
      </c>
      <c r="C10" s="18" t="s">
        <v>30</v>
      </c>
      <c r="D10" s="18" t="s">
        <v>26</v>
      </c>
      <c r="E10" s="18" t="s">
        <v>39</v>
      </c>
      <c r="F10" s="18" t="s">
        <v>52</v>
      </c>
      <c r="G10" s="18" t="s">
        <v>88</v>
      </c>
    </row>
    <row r="11" spans="1:7" ht="25.5">
      <c r="A11" s="6">
        <v>1</v>
      </c>
      <c r="B11" s="20" t="s">
        <v>193</v>
      </c>
      <c r="C11" s="36">
        <f>283.6405/1.18</f>
        <v>240.37330508474577</v>
      </c>
      <c r="D11" s="36">
        <f>436.21797/1.18</f>
        <v>369.67624576271186</v>
      </c>
      <c r="E11" s="34">
        <f>437.21727/1.18</f>
        <v>370.52311016949153</v>
      </c>
      <c r="F11" s="34">
        <f>'[8]07.12'!$Z$15/1000</f>
        <v>450.9000000000001</v>
      </c>
      <c r="G11" s="34">
        <f>E11+F11+D11+C11</f>
        <v>1431.4726610169491</v>
      </c>
    </row>
    <row r="12" spans="1:7" ht="25.5">
      <c r="A12" s="6">
        <v>2</v>
      </c>
      <c r="B12" s="20" t="s">
        <v>199</v>
      </c>
      <c r="C12" s="39">
        <f>240.76748/1.18</f>
        <v>204.04023728813561</v>
      </c>
      <c r="D12" s="39">
        <f>420.11068/1.18</f>
        <v>356.026</v>
      </c>
      <c r="E12" s="30">
        <f>435.44839/1.18</f>
        <v>369.0240593220339</v>
      </c>
      <c r="F12" s="30">
        <f>'[8]07.12'!$AA$15/1000</f>
        <v>440.56207627118647</v>
      </c>
      <c r="G12" s="34">
        <f>E12+F12+D12+C12</f>
        <v>1369.652372881356</v>
      </c>
    </row>
    <row r="13" spans="1:7" ht="25.5">
      <c r="A13" s="6">
        <v>3</v>
      </c>
      <c r="B13" s="20" t="s">
        <v>194</v>
      </c>
      <c r="C13" s="30">
        <f>(C11-C12)*1.18</f>
        <v>42.873019999999975</v>
      </c>
      <c r="D13" s="33">
        <f>(D11-D12)*1.18+C13</f>
        <v>58.98030999999995</v>
      </c>
      <c r="E13" s="30">
        <f>(E11-E12)*1.18+D13</f>
        <v>60.74918999999995</v>
      </c>
      <c r="F13" s="30">
        <f>(F11-F12)*1.18+E13+F14</f>
        <v>72.94794000000002</v>
      </c>
      <c r="G13" s="30">
        <f>(G11-G12)*1.18</f>
        <v>72.94793999999979</v>
      </c>
    </row>
    <row r="14" spans="1:7" ht="12.75">
      <c r="A14" s="6"/>
      <c r="B14" s="12"/>
      <c r="C14" s="19"/>
      <c r="D14" s="19"/>
      <c r="E14" s="23"/>
      <c r="F14" s="42"/>
      <c r="G14" s="52"/>
    </row>
    <row r="15" spans="1:15" ht="31.5" customHeight="1">
      <c r="A15" s="6">
        <v>4</v>
      </c>
      <c r="B15" s="20" t="s">
        <v>2</v>
      </c>
      <c r="C15" s="30">
        <f>SUM(C16:C22)</f>
        <v>200.80930874111183</v>
      </c>
      <c r="D15" s="30">
        <f>SUM(D16:D22)</f>
        <v>424.0172049326303</v>
      </c>
      <c r="E15" s="30">
        <f>SUM(E16:E22)</f>
        <v>439.16917408847115</v>
      </c>
      <c r="F15" s="30">
        <f>SUM(F16:F22)</f>
        <v>560.3361615569223</v>
      </c>
      <c r="G15" s="34">
        <f>E15+F15+D15+C15</f>
        <v>1624.3318493191357</v>
      </c>
      <c r="H15" s="68"/>
      <c r="I15" s="68"/>
      <c r="J15" s="68"/>
      <c r="K15" s="68"/>
      <c r="L15" s="68"/>
      <c r="M15" s="68"/>
      <c r="N15" s="68"/>
      <c r="O15" s="68"/>
    </row>
    <row r="16" spans="1:7" ht="12.75">
      <c r="A16" s="29" t="s">
        <v>14</v>
      </c>
      <c r="B16" s="12" t="s">
        <v>4</v>
      </c>
      <c r="C16" s="30">
        <f>'[3]кв4.д9'!$AT$44</f>
        <v>38.71094</v>
      </c>
      <c r="D16" s="30">
        <f>'[4]кв4.д9'!$AT$45</f>
        <v>88.8554071222</v>
      </c>
      <c r="E16" s="40">
        <f>'[1]кв4.д9'!$AT$45</f>
        <v>55.098116999999995</v>
      </c>
      <c r="F16" s="40">
        <f>'[5]кв4.д9'!$AT$45</f>
        <v>14.637679999999998</v>
      </c>
      <c r="G16" s="34">
        <f aca="true" t="shared" si="0" ref="G16:G21">E16+F16+D16+C16</f>
        <v>197.3021441222</v>
      </c>
    </row>
    <row r="17" spans="1:7" ht="12.75">
      <c r="A17" s="29" t="s">
        <v>15</v>
      </c>
      <c r="B17" s="12" t="s">
        <v>19</v>
      </c>
      <c r="C17" s="30">
        <f>'[3]кв4.д9'!$AT$51+'[3]кв4.д9'!$AT$55</f>
        <v>77.1075882644</v>
      </c>
      <c r="D17" s="28">
        <f>'[4]кв4.д9'!$AT$54+'[4]кв4.д9'!$AT$58</f>
        <v>188.43749562069343</v>
      </c>
      <c r="E17" s="30">
        <f>'[1]кв4.д9'!$AT$54+'[1]кв4.д9'!$AT$58</f>
        <v>227.12334121891624</v>
      </c>
      <c r="F17" s="30">
        <f>'[5]кв4.д9'!$AT$54+'[5]кв4.д9'!$AT$58</f>
        <v>354.8904649792795</v>
      </c>
      <c r="G17" s="34">
        <f t="shared" si="0"/>
        <v>847.5588900832892</v>
      </c>
    </row>
    <row r="18" spans="1:7" ht="12.75">
      <c r="A18" s="29" t="s">
        <v>16</v>
      </c>
      <c r="B18" s="12" t="s">
        <v>5</v>
      </c>
      <c r="C18" s="30">
        <f>'[3]кв4.д9'!$AT$83</f>
        <v>33.50255</v>
      </c>
      <c r="D18" s="30">
        <f>'[4]кв4.д9'!$AT$81</f>
        <v>58.168937176961684</v>
      </c>
      <c r="E18" s="30">
        <f>'[1]кв4.д9'!$AT$81</f>
        <v>65.03837430000002</v>
      </c>
      <c r="F18" s="30">
        <f>'[5]кв4.д9'!$AT$81</f>
        <v>68.025065</v>
      </c>
      <c r="G18" s="34">
        <f t="shared" si="0"/>
        <v>224.73492647696173</v>
      </c>
    </row>
    <row r="19" spans="1:7" ht="12.75">
      <c r="A19" s="29" t="s">
        <v>17</v>
      </c>
      <c r="B19" s="12" t="s">
        <v>6</v>
      </c>
      <c r="C19" s="30">
        <f>'[3]кв4.д9'!$AT$84</f>
        <v>2.3042018399999997</v>
      </c>
      <c r="D19" s="30">
        <f>'[4]кв4.д9'!$AT$83</f>
        <v>5.394599999999998</v>
      </c>
      <c r="E19" s="30">
        <f>'[1]кв4.д9'!$AT$83</f>
        <v>6.689612294358996</v>
      </c>
      <c r="F19" s="30">
        <f>'[5]кв4.д9'!$AT$83</f>
        <v>17.277584558147947</v>
      </c>
      <c r="G19" s="34">
        <f t="shared" si="0"/>
        <v>31.665998692506943</v>
      </c>
    </row>
    <row r="20" spans="1:7" ht="12.75">
      <c r="A20" s="29" t="s">
        <v>18</v>
      </c>
      <c r="B20" s="12" t="s">
        <v>7</v>
      </c>
      <c r="C20" s="30">
        <f>'[3]кв4.д9'!$AT$124</f>
        <v>12.148732874</v>
      </c>
      <c r="D20" s="30">
        <f>'[4]кв4.д9'!$AT$123</f>
        <v>25.229682070590638</v>
      </c>
      <c r="E20" s="30">
        <f>'[1]кв4.д9'!$AT$123</f>
        <v>29.430471749772224</v>
      </c>
      <c r="F20" s="30">
        <f>'[5]кв4.д9'!$AT$123</f>
        <v>37.3796665707769</v>
      </c>
      <c r="G20" s="34">
        <f t="shared" si="0"/>
        <v>104.18855326513977</v>
      </c>
    </row>
    <row r="21" spans="1:7" ht="12.75">
      <c r="A21" s="29" t="s">
        <v>20</v>
      </c>
      <c r="B21" s="41" t="s">
        <v>24</v>
      </c>
      <c r="C21" s="30">
        <f>'[3]кв4.д9'!$AT$82</f>
        <v>0.9793000000000001</v>
      </c>
      <c r="D21" s="30">
        <f>'[4]кв4.д9'!$AT$78+'[4]кв4.д9'!$AT$75+'[4]кв4.д9'!$AT$68+'[4]кв4.д9'!$AT$63</f>
        <v>2.4796460777777773</v>
      </c>
      <c r="E21" s="30">
        <f>'[1]кв4.д9'!$AT$79+'[1]кв4.д9'!$AT$78+'[1]кв4.д9'!$AT$68</f>
        <v>0.210791</v>
      </c>
      <c r="F21" s="30">
        <f>'[5]кв4.д9'!$AT$66-'[5]кв4.д9'!$AT$81</f>
        <v>0.49070044871794494</v>
      </c>
      <c r="G21" s="34">
        <f t="shared" si="0"/>
        <v>4.1604375264957225</v>
      </c>
    </row>
    <row r="22" spans="1:7" ht="13.5" thickBot="1">
      <c r="A22" s="29" t="s">
        <v>86</v>
      </c>
      <c r="B22" s="24" t="s">
        <v>87</v>
      </c>
      <c r="C22" s="30">
        <f>C11*15%</f>
        <v>36.055995762711866</v>
      </c>
      <c r="D22" s="30">
        <f>D11*15%</f>
        <v>55.45143686440678</v>
      </c>
      <c r="E22" s="30">
        <f>E11*15%</f>
        <v>55.57846652542373</v>
      </c>
      <c r="F22" s="30">
        <f>F11*15%</f>
        <v>67.635</v>
      </c>
      <c r="G22" s="30">
        <f>G11*15%</f>
        <v>214.72089915254236</v>
      </c>
    </row>
    <row r="23" spans="1:7" ht="13.5" thickBot="1">
      <c r="A23" s="25"/>
      <c r="B23" s="26"/>
      <c r="C23" s="27"/>
      <c r="D23" s="27"/>
      <c r="E23" s="27"/>
      <c r="F23" s="27"/>
      <c r="G23" s="27"/>
    </row>
    <row r="24" spans="1:6" ht="12.75">
      <c r="A24" s="9"/>
      <c r="B24" s="9"/>
      <c r="C24" s="9"/>
      <c r="D24" s="9"/>
      <c r="E24" s="9"/>
      <c r="F24" s="9"/>
    </row>
    <row r="25" spans="1:7" ht="16.5">
      <c r="A25" s="55" t="s">
        <v>63</v>
      </c>
      <c r="B25" s="77"/>
      <c r="C25" s="55"/>
      <c r="D25" s="55"/>
      <c r="E25" s="55"/>
      <c r="G25" s="107"/>
    </row>
    <row r="26" spans="2:7" ht="30.75" customHeight="1">
      <c r="B26" s="64" t="s">
        <v>65</v>
      </c>
      <c r="C26" s="143" t="s">
        <v>66</v>
      </c>
      <c r="D26" s="144"/>
      <c r="E26" s="144"/>
      <c r="F26" s="145"/>
      <c r="G26" s="78" t="s">
        <v>67</v>
      </c>
    </row>
    <row r="27" spans="1:7" ht="21.75" customHeight="1">
      <c r="A27" s="51"/>
      <c r="B27" s="80" t="s">
        <v>118</v>
      </c>
      <c r="C27" s="126" t="s">
        <v>58</v>
      </c>
      <c r="D27" s="127"/>
      <c r="E27" s="127"/>
      <c r="F27" s="135"/>
      <c r="G27" s="79">
        <v>4.30308</v>
      </c>
    </row>
    <row r="28" spans="1:7" ht="18.75" customHeight="1">
      <c r="A28" s="51"/>
      <c r="B28" s="80" t="s">
        <v>118</v>
      </c>
      <c r="C28" s="126" t="s">
        <v>122</v>
      </c>
      <c r="D28" s="127"/>
      <c r="E28" s="127"/>
      <c r="F28" s="128"/>
      <c r="G28" s="79">
        <v>0.14264</v>
      </c>
    </row>
    <row r="29" spans="1:7" ht="18.75" customHeight="1">
      <c r="A29" s="51"/>
      <c r="B29" s="80" t="s">
        <v>132</v>
      </c>
      <c r="C29" s="56"/>
      <c r="D29" s="57"/>
      <c r="E29" s="57"/>
      <c r="F29" s="58"/>
      <c r="G29" s="79">
        <v>0.17492999999999992</v>
      </c>
    </row>
    <row r="30" spans="1:7" ht="18.75" customHeight="1">
      <c r="A30" s="51"/>
      <c r="B30" s="80" t="s">
        <v>134</v>
      </c>
      <c r="C30" s="126" t="s">
        <v>143</v>
      </c>
      <c r="D30" s="127"/>
      <c r="E30" s="127"/>
      <c r="F30" s="128"/>
      <c r="G30" s="79">
        <v>0.41598</v>
      </c>
    </row>
    <row r="31" spans="1:7" ht="18.75" customHeight="1">
      <c r="A31" s="51"/>
      <c r="B31" s="80" t="s">
        <v>161</v>
      </c>
      <c r="C31" s="126" t="s">
        <v>160</v>
      </c>
      <c r="D31" s="127"/>
      <c r="E31" s="127"/>
      <c r="F31" s="128"/>
      <c r="G31" s="79">
        <v>1.07</v>
      </c>
    </row>
    <row r="32" spans="1:7" ht="18.75" customHeight="1">
      <c r="A32" s="51"/>
      <c r="B32" s="80" t="s">
        <v>161</v>
      </c>
      <c r="C32" s="56" t="s">
        <v>159</v>
      </c>
      <c r="D32" s="57"/>
      <c r="E32" s="57"/>
      <c r="F32" s="58"/>
      <c r="G32" s="79">
        <v>3.57</v>
      </c>
    </row>
    <row r="33" spans="1:7" ht="18.75" customHeight="1">
      <c r="A33" s="51"/>
      <c r="B33" s="80" t="s">
        <v>157</v>
      </c>
      <c r="C33" s="56" t="s">
        <v>162</v>
      </c>
      <c r="D33" s="57"/>
      <c r="E33" s="57"/>
      <c r="F33" s="58"/>
      <c r="G33" s="79">
        <f>0.543971428571429+0.00951</f>
        <v>0.553481428571429</v>
      </c>
    </row>
    <row r="34" spans="1:7" ht="18.75" customHeight="1">
      <c r="A34" s="51"/>
      <c r="B34" s="80"/>
      <c r="C34" s="56"/>
      <c r="D34" s="57"/>
      <c r="E34" s="57"/>
      <c r="F34" s="58"/>
      <c r="G34" s="79"/>
    </row>
    <row r="35" spans="1:7" ht="18.75" customHeight="1">
      <c r="A35" s="51"/>
      <c r="B35" s="108" t="s">
        <v>163</v>
      </c>
      <c r="C35" s="126"/>
      <c r="D35" s="127"/>
      <c r="E35" s="127"/>
      <c r="F35" s="128"/>
      <c r="G35" s="79">
        <f>SUM(G27:G34)</f>
        <v>10.230111428571428</v>
      </c>
    </row>
    <row r="36" spans="1:7" ht="16.5">
      <c r="A36" s="9"/>
      <c r="B36" s="9"/>
      <c r="C36" s="9"/>
      <c r="D36" s="9"/>
      <c r="E36" s="9"/>
      <c r="F36" s="9"/>
      <c r="G36" s="55"/>
    </row>
    <row r="37" spans="1:7" ht="16.5">
      <c r="A37" s="9"/>
      <c r="B37" s="9"/>
      <c r="C37" s="9"/>
      <c r="D37" s="9"/>
      <c r="E37" s="9"/>
      <c r="F37" s="9"/>
      <c r="G37" s="55"/>
    </row>
    <row r="38" spans="1:7" ht="16.5">
      <c r="A38" s="9"/>
      <c r="B38" s="9"/>
      <c r="C38" s="9"/>
      <c r="D38" s="9"/>
      <c r="E38" s="9"/>
      <c r="F38" s="9"/>
      <c r="G38" s="55"/>
    </row>
    <row r="39" spans="1:7" s="2" customFormat="1" ht="12.75">
      <c r="A39" s="142" t="s">
        <v>22</v>
      </c>
      <c r="B39" s="142"/>
      <c r="C39" s="31"/>
      <c r="D39"/>
      <c r="E39" s="9"/>
      <c r="F39" s="15" t="s">
        <v>148</v>
      </c>
      <c r="G39"/>
    </row>
    <row r="40" spans="1:7" s="2" customFormat="1" ht="12.75">
      <c r="A40" s="48"/>
      <c r="B40" s="48"/>
      <c r="C40" s="31"/>
      <c r="D40"/>
      <c r="E40" s="9"/>
      <c r="F40" s="15"/>
      <c r="G40"/>
    </row>
    <row r="41" spans="1:7" s="2" customFormat="1" ht="12.75">
      <c r="A41" s="48"/>
      <c r="B41" s="48"/>
      <c r="C41" s="31"/>
      <c r="D41"/>
      <c r="E41" s="9"/>
      <c r="F41" s="15"/>
      <c r="G41"/>
    </row>
    <row r="42" spans="1:7" s="2" customFormat="1" ht="12.75">
      <c r="A42" s="48"/>
      <c r="B42" s="48"/>
      <c r="C42" s="31"/>
      <c r="D42"/>
      <c r="E42" s="9"/>
      <c r="F42" s="15"/>
      <c r="G42"/>
    </row>
    <row r="43" spans="1:7" s="2" customFormat="1" ht="12.75">
      <c r="A43" s="48"/>
      <c r="B43" s="48"/>
      <c r="C43" s="31"/>
      <c r="D43"/>
      <c r="E43" s="9"/>
      <c r="F43" s="15"/>
      <c r="G43"/>
    </row>
    <row r="44" spans="1:7" s="2" customFormat="1" ht="12.75">
      <c r="A44" s="48"/>
      <c r="B44" s="48"/>
      <c r="C44" s="31"/>
      <c r="D44"/>
      <c r="E44" s="9"/>
      <c r="F44" s="15"/>
      <c r="G44"/>
    </row>
    <row r="45" spans="1:7" s="2" customFormat="1" ht="12.75">
      <c r="A45" s="48"/>
      <c r="B45" s="48"/>
      <c r="C45" s="31"/>
      <c r="D45"/>
      <c r="E45" s="9"/>
      <c r="F45" s="15"/>
      <c r="G45"/>
    </row>
    <row r="46" spans="1:7" s="9" customFormat="1" ht="12.75">
      <c r="A46" s="134" t="s">
        <v>9</v>
      </c>
      <c r="B46" s="134"/>
      <c r="C46" s="15"/>
      <c r="D46"/>
      <c r="F46" s="15" t="s">
        <v>197</v>
      </c>
      <c r="G46"/>
    </row>
    <row r="47" spans="2:7" s="9" customFormat="1" ht="12.75">
      <c r="B47" s="15"/>
      <c r="C47" s="15"/>
      <c r="D47" s="15"/>
      <c r="G47"/>
    </row>
    <row r="48" spans="1:6" ht="12.75">
      <c r="A48" s="9"/>
      <c r="B48" s="9"/>
      <c r="C48" s="9"/>
      <c r="D48" s="9"/>
      <c r="E48" s="9"/>
      <c r="F48" s="9"/>
    </row>
    <row r="49" s="9" customFormat="1" ht="12.75">
      <c r="G49" s="1"/>
    </row>
    <row r="50" spans="2:7" s="9" customFormat="1" ht="12.75">
      <c r="B50" s="11" t="s">
        <v>11</v>
      </c>
      <c r="C50" s="11"/>
      <c r="G50" s="1"/>
    </row>
    <row r="51" spans="2:7" s="9" customFormat="1" ht="12.75">
      <c r="B51" s="9" t="s">
        <v>21</v>
      </c>
      <c r="G51" s="8"/>
    </row>
    <row r="52" spans="2:7" s="9" customFormat="1" ht="12.75">
      <c r="B52" s="9" t="s">
        <v>90</v>
      </c>
      <c r="G52" s="8"/>
    </row>
    <row r="53" s="9" customFormat="1" ht="12.75">
      <c r="G53"/>
    </row>
    <row r="54" s="9" customFormat="1" ht="12.75"/>
    <row r="55" s="9" customFormat="1" ht="12.75"/>
    <row r="56" s="9" customFormat="1" ht="12.75"/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</sheetData>
  <sheetProtection/>
  <mergeCells count="11">
    <mergeCell ref="C31:F31"/>
    <mergeCell ref="C35:F35"/>
    <mergeCell ref="A2:E2"/>
    <mergeCell ref="B4:E4"/>
    <mergeCell ref="A5:E5"/>
    <mergeCell ref="A39:B39"/>
    <mergeCell ref="A46:B46"/>
    <mergeCell ref="C27:F27"/>
    <mergeCell ref="C28:F28"/>
    <mergeCell ref="C26:F26"/>
    <mergeCell ref="C30:F30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55"/>
  <sheetViews>
    <sheetView view="pageBreakPreview" zoomScaleSheetLayoutView="100" zoomScalePageLayoutView="0" workbookViewId="0" topLeftCell="B4">
      <selection activeCell="G16" sqref="G16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11.25390625" style="0" customWidth="1"/>
    <col min="4" max="4" width="11.375" style="0" customWidth="1"/>
    <col min="5" max="5" width="11.75390625" style="0" customWidth="1"/>
    <col min="6" max="6" width="11.125" style="0" customWidth="1"/>
    <col min="7" max="7" width="10.25390625" style="0" customWidth="1"/>
    <col min="9" max="9" width="9.625" style="0" bestFit="1" customWidth="1"/>
  </cols>
  <sheetData>
    <row r="6" spans="1:6" ht="26.25">
      <c r="A6" s="117" t="s">
        <v>3</v>
      </c>
      <c r="B6" s="117"/>
      <c r="C6" s="117"/>
      <c r="D6" s="117"/>
      <c r="E6" s="117"/>
      <c r="F6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44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spans="2:7" s="2" customFormat="1" ht="12.75">
      <c r="B10" s="21"/>
      <c r="C10" s="21"/>
      <c r="D10" s="21"/>
      <c r="E10" s="21"/>
      <c r="F10" s="21"/>
      <c r="G10" s="21"/>
    </row>
    <row r="11" spans="2:3" s="2" customFormat="1" ht="12.75">
      <c r="B11" s="1"/>
      <c r="C11" s="1"/>
    </row>
    <row r="12" ht="13.5" thickBot="1">
      <c r="G12" t="s">
        <v>91</v>
      </c>
    </row>
    <row r="13" spans="1:8" s="4" customFormat="1" ht="48.75" customHeight="1">
      <c r="A13" s="3" t="s">
        <v>0</v>
      </c>
      <c r="B13" s="17" t="s">
        <v>1</v>
      </c>
      <c r="C13" s="18" t="s">
        <v>27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88</v>
      </c>
    </row>
    <row r="14" spans="1:8" ht="12.75">
      <c r="A14" s="6">
        <v>1</v>
      </c>
      <c r="B14" s="13" t="s">
        <v>12</v>
      </c>
      <c r="C14" s="35">
        <f>336.404204/1.18</f>
        <v>285.0883084745763</v>
      </c>
      <c r="D14" s="36">
        <f>497.94384/1.18</f>
        <v>421.9863050847458</v>
      </c>
      <c r="E14" s="37">
        <f>503.35245/1.18</f>
        <v>426.56987288135593</v>
      </c>
      <c r="F14" s="34">
        <f>503.392/1.18</f>
        <v>426.6033898305085</v>
      </c>
      <c r="G14" s="34"/>
      <c r="H14" s="34">
        <f>C14+D14+E14+F14+G14</f>
        <v>1560.2478762711867</v>
      </c>
    </row>
    <row r="15" spans="1:8" ht="12.75">
      <c r="A15" s="6">
        <v>2</v>
      </c>
      <c r="B15" s="13" t="s">
        <v>13</v>
      </c>
      <c r="C15" s="38">
        <f>232.64436/1.18</f>
        <v>197.1562372881356</v>
      </c>
      <c r="D15" s="39">
        <f>447.77063/1.18</f>
        <v>379.46663559322036</v>
      </c>
      <c r="E15" s="39">
        <f>474.90281/1.18</f>
        <v>402.4600084745763</v>
      </c>
      <c r="F15" s="30">
        <f>504.22641/1.18</f>
        <v>427.31051694915254</v>
      </c>
      <c r="G15" s="30">
        <f>'[8]07.12'!$X$20/1.18/1000</f>
        <v>77.44888983050849</v>
      </c>
      <c r="H15" s="34">
        <f>C15+D15+E15+F15+G15</f>
        <v>1483.8422881355932</v>
      </c>
    </row>
    <row r="16" spans="1:9" ht="25.5">
      <c r="A16" s="6">
        <v>3</v>
      </c>
      <c r="B16" s="20" t="s">
        <v>42</v>
      </c>
      <c r="C16" s="33">
        <f>(C14-C15)*1.18</f>
        <v>103.75984400000003</v>
      </c>
      <c r="D16" s="30">
        <f>(D14-D15)*1.18+C16</f>
        <v>153.93305400000008</v>
      </c>
      <c r="E16" s="30">
        <f>(E14-E15)*1.18+D16</f>
        <v>182.38269400000007</v>
      </c>
      <c r="F16" s="30">
        <f>(F14-F15)*1.18+E16+F17</f>
        <v>171.70741400000009</v>
      </c>
      <c r="G16" s="30">
        <f>(G14-G15)*1.18+F16+G17</f>
        <v>80.31772400000007</v>
      </c>
      <c r="H16" s="30">
        <f>(H14-H15)*1.18+H17</f>
        <v>80.31772400000028</v>
      </c>
      <c r="I16">
        <f>(G14-G15)*1.18</f>
        <v>-91.38969000000002</v>
      </c>
    </row>
    <row r="17" spans="1:8" ht="12.75">
      <c r="A17" s="6"/>
      <c r="B17" s="12" t="s">
        <v>41</v>
      </c>
      <c r="C17" s="19"/>
      <c r="D17" s="19"/>
      <c r="E17" s="19"/>
      <c r="F17" s="23">
        <v>-9.84087</v>
      </c>
      <c r="G17" s="49"/>
      <c r="H17" s="30">
        <f>C17+D17+E17+F17+G17</f>
        <v>-9.84087</v>
      </c>
    </row>
    <row r="18" spans="1:17" ht="31.5" customHeight="1">
      <c r="A18" s="6">
        <v>4</v>
      </c>
      <c r="B18" s="20" t="s">
        <v>2</v>
      </c>
      <c r="C18" s="30">
        <f>SUM(C19:C25)</f>
        <v>181.39803389481847</v>
      </c>
      <c r="D18" s="30">
        <f>SUM(D19:D25)</f>
        <v>488.1531945305119</v>
      </c>
      <c r="E18" s="30">
        <f>SUM(E19:E25)</f>
        <v>351.88444769056287</v>
      </c>
      <c r="F18" s="30">
        <f>SUM(F19:F25)</f>
        <v>513.6435323416495</v>
      </c>
      <c r="G18" s="30"/>
      <c r="H18" s="30">
        <f aca="true" t="shared" si="0" ref="H18:H24">C18+D18+E18+F18+G18</f>
        <v>1535.0792084575428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1:8" ht="12.75">
      <c r="A19" s="29" t="s">
        <v>14</v>
      </c>
      <c r="B19" s="12" t="s">
        <v>4</v>
      </c>
      <c r="C19" s="30">
        <f>'[2]ул.Ленинская д3'!$AT$44</f>
        <v>35.456269999999996</v>
      </c>
      <c r="D19" s="30">
        <f>'[3]ул.Ленинская д3'!$AT$44</f>
        <v>132.89677</v>
      </c>
      <c r="E19" s="28">
        <f>'[4]ул.Ленинская д3'!$AT$45</f>
        <v>44.1892971222</v>
      </c>
      <c r="F19" s="40">
        <f>'[6]ул.Ленинская д3'!$AT$45</f>
        <v>73.917801</v>
      </c>
      <c r="G19" s="40"/>
      <c r="H19" s="30">
        <f t="shared" si="0"/>
        <v>286.46013812219996</v>
      </c>
    </row>
    <row r="20" spans="1:8" ht="12.75">
      <c r="A20" s="29" t="s">
        <v>15</v>
      </c>
      <c r="B20" s="12" t="s">
        <v>19</v>
      </c>
      <c r="C20" s="30">
        <f>'[2]ул.Ленинская д3'!$AT$51+'[2]ул.Ленинская д3'!$AT$55</f>
        <v>61.96102176584</v>
      </c>
      <c r="D20" s="30">
        <f>'[3]ул.Ленинская д3'!$AT$51+'[3]ул.Ленинская д3'!$AT$55</f>
        <v>178.6984165673</v>
      </c>
      <c r="E20" s="28">
        <f>'[4]ул.Ленинская д3'!$AT$54+'[4]ул.Ленинская д3'!$AT$58</f>
        <v>156.26292482953647</v>
      </c>
      <c r="F20" s="30">
        <f>'[6]ул.Ленинская д3'!$AT$54+'[6]ул.Ленинская д3'!$AT$58</f>
        <v>258.29775663996304</v>
      </c>
      <c r="G20" s="30"/>
      <c r="H20" s="30">
        <f t="shared" si="0"/>
        <v>655.2201198026395</v>
      </c>
    </row>
    <row r="21" spans="1:8" ht="12.75">
      <c r="A21" s="29" t="s">
        <v>16</v>
      </c>
      <c r="B21" s="12" t="s">
        <v>5</v>
      </c>
      <c r="C21" s="30">
        <f>'[2]ул.Ленинская д3'!$AT$67</f>
        <v>30.3909</v>
      </c>
      <c r="D21" s="30">
        <f>'[3]ул.Ленинская д3'!$AT$83</f>
        <v>68.75761</v>
      </c>
      <c r="E21" s="30">
        <f>'[4]ул.Ленинская д3'!$AT$81</f>
        <v>66.44163187268948</v>
      </c>
      <c r="F21" s="30">
        <f>'[6]ул.Ленинская д3'!$AT$81</f>
        <v>76.52115212258065</v>
      </c>
      <c r="G21" s="30"/>
      <c r="H21" s="30">
        <f t="shared" si="0"/>
        <v>242.11129399527013</v>
      </c>
    </row>
    <row r="22" spans="1:8" ht="12.75">
      <c r="A22" s="29" t="s">
        <v>17</v>
      </c>
      <c r="B22" s="12" t="s">
        <v>6</v>
      </c>
      <c r="C22" s="30">
        <f>'[2]ул.Ленинская д3'!$AT$84</f>
        <v>0.17676000000000008</v>
      </c>
      <c r="D22" s="30">
        <f>'[3]ул.Ленинская д3'!$AT$84</f>
        <v>14.762854479999998</v>
      </c>
      <c r="E22" s="30">
        <f>'[4]ул.Ленинская д3'!$AT$83</f>
        <v>2.783566658015099</v>
      </c>
      <c r="F22" s="30">
        <f>'[6]ул.Ленинская д3'!$AT$83</f>
        <v>3.221826808659788</v>
      </c>
      <c r="G22" s="30"/>
      <c r="H22" s="30">
        <f t="shared" si="0"/>
        <v>20.945007946674885</v>
      </c>
    </row>
    <row r="23" spans="1:8" ht="12.75">
      <c r="A23" s="29" t="s">
        <v>18</v>
      </c>
      <c r="B23" s="12" t="s">
        <v>7</v>
      </c>
      <c r="C23" s="30">
        <f>'[2]ул.Ленинская д3'!$AT$124</f>
        <v>10.649835857792</v>
      </c>
      <c r="D23" s="30">
        <f>'[3]ул.Ленинская д3'!$AT$124</f>
        <v>29.113597720500003</v>
      </c>
      <c r="E23" s="30">
        <f>'[4]ул.Ленинская д3'!$AT$123</f>
        <v>18.069441998140647</v>
      </c>
      <c r="F23" s="30">
        <f>'[6]ул.Ленинская д3'!$AT$123</f>
        <v>37.48369629586972</v>
      </c>
      <c r="G23" s="30"/>
      <c r="H23" s="30">
        <f t="shared" si="0"/>
        <v>95.31657187230238</v>
      </c>
    </row>
    <row r="24" spans="1:8" ht="12.75">
      <c r="A24" s="29" t="s">
        <v>20</v>
      </c>
      <c r="B24" s="50" t="s">
        <v>24</v>
      </c>
      <c r="C24" s="30">
        <v>0</v>
      </c>
      <c r="D24" s="30">
        <f>'[3]ул.Ленинская д3'!$AT$79+'[3]ул.Ленинская д3'!$AT$59</f>
        <v>0.626</v>
      </c>
      <c r="E24" s="30">
        <f>'[4]ул.Ленинская д3'!$AT$68+'[4]ул.Ленинская д3'!$AT$75+'[4]ул.Ленинская д3'!$AT$78+'[4]ул.Ленинская д3'!$AT$64</f>
        <v>0.1521042777777778</v>
      </c>
      <c r="F24" s="30">
        <f>'[6]ул.Ленинская д3'!$AT$79+'[6]ул.Ленинская д3'!$AT$78+'[6]ул.Ленинская д3'!$AT$68</f>
        <v>0.210791</v>
      </c>
      <c r="G24" s="30"/>
      <c r="H24" s="30">
        <f t="shared" si="0"/>
        <v>0.9888952777777777</v>
      </c>
    </row>
    <row r="25" spans="1:8" ht="13.5" thickBot="1">
      <c r="A25" s="29" t="s">
        <v>86</v>
      </c>
      <c r="B25" s="24" t="s">
        <v>87</v>
      </c>
      <c r="C25" s="30">
        <f>C14*15%</f>
        <v>42.763246271186446</v>
      </c>
      <c r="D25" s="30">
        <f>D14*15%</f>
        <v>63.29794576271187</v>
      </c>
      <c r="E25" s="30">
        <f>E14*15%</f>
        <v>63.98548093220339</v>
      </c>
      <c r="F25" s="70">
        <f>F14*15%</f>
        <v>63.990508474576274</v>
      </c>
      <c r="G25" s="74"/>
      <c r="H25" s="70">
        <f>H14*15%</f>
        <v>234.03718144067798</v>
      </c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7" ht="12.75">
      <c r="A27" s="9"/>
      <c r="B27" s="9"/>
      <c r="C27" s="9"/>
      <c r="D27" s="9"/>
      <c r="E27" s="9"/>
      <c r="F27" s="9"/>
      <c r="G27" s="14"/>
    </row>
    <row r="28" spans="1:7" ht="12.75">
      <c r="A28" s="9"/>
      <c r="B28" s="9"/>
      <c r="C28" s="9"/>
      <c r="D28" s="9"/>
      <c r="E28" s="9"/>
      <c r="F28" s="9"/>
      <c r="G28" s="9"/>
    </row>
    <row r="29" spans="1:7" ht="68.25" customHeight="1">
      <c r="A29" s="9"/>
      <c r="B29" s="31" t="s">
        <v>22</v>
      </c>
      <c r="C29" s="31"/>
      <c r="D29" s="31"/>
      <c r="E29" s="15" t="s">
        <v>8</v>
      </c>
      <c r="F29" s="9"/>
      <c r="G29" s="10"/>
    </row>
    <row r="30" spans="1:7" ht="48" customHeight="1">
      <c r="A30" s="9"/>
      <c r="B30" s="15" t="s">
        <v>9</v>
      </c>
      <c r="C30" s="15"/>
      <c r="D30" s="15"/>
      <c r="E30" s="15" t="s">
        <v>10</v>
      </c>
      <c r="F30" s="9"/>
      <c r="G30" s="10"/>
    </row>
    <row r="31" spans="1:9" ht="12.75">
      <c r="A31" s="9"/>
      <c r="B31" s="15"/>
      <c r="C31" s="15"/>
      <c r="D31" s="15"/>
      <c r="E31" s="15"/>
      <c r="F31" s="9"/>
      <c r="G31" s="10"/>
      <c r="H31" s="5"/>
      <c r="I31" s="5"/>
    </row>
    <row r="32" spans="1:9" ht="12.75">
      <c r="A32" s="9"/>
      <c r="B32" s="9"/>
      <c r="C32" s="9"/>
      <c r="D32" s="9"/>
      <c r="E32" s="9"/>
      <c r="F32" s="9"/>
      <c r="G32" s="10"/>
      <c r="H32" s="1"/>
      <c r="I32" s="1"/>
    </row>
    <row r="33" spans="1:9" s="2" customFormat="1" ht="12.75">
      <c r="A33" s="15"/>
      <c r="B33" s="15"/>
      <c r="C33" s="15"/>
      <c r="D33" s="15"/>
      <c r="E33" s="15"/>
      <c r="F33" s="15"/>
      <c r="G33" s="16"/>
      <c r="H33" s="7"/>
      <c r="I33" s="7"/>
    </row>
    <row r="34" spans="7:9" s="9" customFormat="1" ht="12.75">
      <c r="G34" s="10"/>
      <c r="H34"/>
      <c r="I34" s="7"/>
    </row>
    <row r="35" spans="7:9" s="9" customFormat="1" ht="12.75">
      <c r="G35" s="10"/>
      <c r="H35"/>
      <c r="I35" s="7"/>
    </row>
    <row r="36" spans="1:7" ht="12.75">
      <c r="A36" s="9"/>
      <c r="B36" s="9"/>
      <c r="C36" s="9"/>
      <c r="D36" s="9"/>
      <c r="E36" s="9"/>
      <c r="F36" s="9"/>
      <c r="G36" s="10"/>
    </row>
    <row r="37" s="9" customFormat="1" ht="12.75">
      <c r="H37"/>
    </row>
    <row r="38" s="9" customFormat="1" ht="12.75">
      <c r="H38" s="1"/>
    </row>
    <row r="39" spans="2:8" s="9" customFormat="1" ht="12.75">
      <c r="B39" s="11" t="s">
        <v>11</v>
      </c>
      <c r="C39" s="11"/>
      <c r="D39" s="11"/>
      <c r="H39" s="1"/>
    </row>
    <row r="40" spans="2:8" s="9" customFormat="1" ht="12.75">
      <c r="B40" s="9" t="s">
        <v>21</v>
      </c>
      <c r="H40" s="8"/>
    </row>
    <row r="41" s="9" customFormat="1" ht="12.75">
      <c r="H41" s="8"/>
    </row>
    <row r="42" s="9" customFormat="1" ht="12.75">
      <c r="H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H50" s="9"/>
    </row>
    <row r="51" ht="12.75">
      <c r="H51" s="9"/>
    </row>
    <row r="52" ht="12.75">
      <c r="H52" s="9"/>
    </row>
    <row r="53" ht="12.75">
      <c r="H53" s="9"/>
    </row>
    <row r="54" ht="12.75">
      <c r="H54" s="9"/>
    </row>
    <row r="55" ht="12.75">
      <c r="H55" s="9"/>
    </row>
  </sheetData>
  <sheetProtection/>
  <mergeCells count="3">
    <mergeCell ref="A6:F6"/>
    <mergeCell ref="B7:F7"/>
    <mergeCell ref="A8:F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O55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4.00390625" style="0" customWidth="1"/>
    <col min="2" max="2" width="42.00390625" style="0" customWidth="1"/>
    <col min="3" max="3" width="11.375" style="0" customWidth="1"/>
    <col min="4" max="4" width="9.625" style="0" customWidth="1"/>
    <col min="5" max="6" width="11.125" style="0" customWidth="1"/>
  </cols>
  <sheetData>
    <row r="5" spans="1:5" ht="26.25">
      <c r="A5" s="117" t="s">
        <v>3</v>
      </c>
      <c r="B5" s="117"/>
      <c r="C5" s="117"/>
      <c r="D5" s="117"/>
      <c r="E5" s="117"/>
    </row>
    <row r="7" spans="1:6" s="2" customFormat="1" ht="15.75">
      <c r="A7" s="32"/>
      <c r="B7" s="118" t="s">
        <v>23</v>
      </c>
      <c r="C7" s="118"/>
      <c r="D7" s="118"/>
      <c r="E7" s="118"/>
      <c r="F7" s="21"/>
    </row>
    <row r="8" spans="1:6" s="2" customFormat="1" ht="15.75">
      <c r="A8" s="118" t="s">
        <v>195</v>
      </c>
      <c r="B8" s="118"/>
      <c r="C8" s="118"/>
      <c r="D8" s="118"/>
      <c r="E8" s="118"/>
      <c r="F8" s="21"/>
    </row>
    <row r="9" s="2" customFormat="1" ht="12.75">
      <c r="B9" s="1"/>
    </row>
    <row r="10" ht="13.5" thickBot="1">
      <c r="F10" t="s">
        <v>192</v>
      </c>
    </row>
    <row r="11" spans="1:7" s="4" customFormat="1" ht="48.75" customHeight="1">
      <c r="A11" s="3" t="s">
        <v>0</v>
      </c>
      <c r="B11" s="17" t="s">
        <v>1</v>
      </c>
      <c r="C11" s="18" t="s">
        <v>32</v>
      </c>
      <c r="D11" s="18" t="s">
        <v>26</v>
      </c>
      <c r="E11" s="18" t="s">
        <v>39</v>
      </c>
      <c r="F11" s="18" t="s">
        <v>52</v>
      </c>
      <c r="G11" s="18" t="s">
        <v>88</v>
      </c>
    </row>
    <row r="12" spans="1:7" ht="25.5">
      <c r="A12" s="6">
        <v>1</v>
      </c>
      <c r="B12" s="20" t="s">
        <v>193</v>
      </c>
      <c r="C12" s="36">
        <f>19.56674/1.18</f>
        <v>16.58198305084746</v>
      </c>
      <c r="D12" s="36">
        <f>77.88236/1.18</f>
        <v>66.00200000000001</v>
      </c>
      <c r="E12" s="34">
        <f>117.57739/1.18</f>
        <v>99.64185593220338</v>
      </c>
      <c r="F12" s="34">
        <f>'[8]07.12'!$W$16/1.18/1000</f>
        <v>119.90466101694919</v>
      </c>
      <c r="G12" s="34">
        <f>E12+F12+D12+C12</f>
        <v>302.13050000000004</v>
      </c>
    </row>
    <row r="13" spans="1:7" ht="25.5">
      <c r="A13" s="6">
        <v>2</v>
      </c>
      <c r="B13" s="20" t="s">
        <v>199</v>
      </c>
      <c r="C13" s="39">
        <f>11.15954/1.18</f>
        <v>9.457237288135593</v>
      </c>
      <c r="D13" s="39">
        <f>84.05815/1.18</f>
        <v>71.23572033898306</v>
      </c>
      <c r="E13" s="30">
        <f>89.52169/1.18</f>
        <v>75.86583898305086</v>
      </c>
      <c r="F13" s="30">
        <f>'[8]07.12'!$X$16/1.18/1000</f>
        <v>103.1293813559322</v>
      </c>
      <c r="G13" s="34">
        <f>E13+F13+D13+C13</f>
        <v>259.68817796610176</v>
      </c>
    </row>
    <row r="14" spans="1:7" ht="25.5">
      <c r="A14" s="6">
        <v>3</v>
      </c>
      <c r="B14" s="20" t="s">
        <v>194</v>
      </c>
      <c r="C14" s="30">
        <f>(C12-C13)*1.18</f>
        <v>8.407200000000001</v>
      </c>
      <c r="D14" s="33">
        <f>(D12-D13)*1.18+C14</f>
        <v>2.2314100000000057</v>
      </c>
      <c r="E14" s="30">
        <f>(E12-E13)*1.18+D14</f>
        <v>30.287109999999977</v>
      </c>
      <c r="F14" s="30">
        <f>(F12-F13)*1.18+E14+F15</f>
        <v>50.08194000000003</v>
      </c>
      <c r="G14" s="30">
        <f>(G12-G13)*1.18</f>
        <v>50.08193999999997</v>
      </c>
    </row>
    <row r="15" spans="1:7" ht="12.75">
      <c r="A15" s="6"/>
      <c r="B15" s="12"/>
      <c r="C15" s="19"/>
      <c r="D15" s="19"/>
      <c r="E15" s="23"/>
      <c r="F15" s="42"/>
      <c r="G15" s="23"/>
    </row>
    <row r="16" spans="1:15" ht="31.5" customHeight="1">
      <c r="A16" s="6">
        <v>4</v>
      </c>
      <c r="B16" s="20" t="s">
        <v>2</v>
      </c>
      <c r="C16" s="30">
        <f>SUM(C17:C23)</f>
        <v>7.2592726176271185</v>
      </c>
      <c r="D16" s="30">
        <f>SUM(D17:D23)</f>
        <v>144.8851900367306</v>
      </c>
      <c r="E16" s="30">
        <f>SUM(E17:E23)</f>
        <v>206.1285622381639</v>
      </c>
      <c r="F16" s="30">
        <f>SUM(F17:F23)</f>
        <v>145.86780950204684</v>
      </c>
      <c r="G16" s="34">
        <f>E16+F16+D16+C16</f>
        <v>504.14083439456846</v>
      </c>
      <c r="H16" s="68"/>
      <c r="I16" s="68"/>
      <c r="J16" s="68"/>
      <c r="K16" s="68"/>
      <c r="L16" s="68"/>
      <c r="M16" s="68"/>
      <c r="N16" s="68"/>
      <c r="O16" s="68"/>
    </row>
    <row r="17" spans="1:7" ht="12.75">
      <c r="A17" s="29" t="s">
        <v>14</v>
      </c>
      <c r="B17" s="12" t="s">
        <v>4</v>
      </c>
      <c r="C17" s="30">
        <f>'[3]кв5.д1'!$AT$44</f>
        <v>0.6403300000000001</v>
      </c>
      <c r="D17" s="30">
        <f>'[4]кв5.д1'!$AT$45</f>
        <v>13.014079000000002</v>
      </c>
      <c r="E17" s="40">
        <f>'[1]кв5.д1'!$AT$45</f>
        <v>37.279486999999996</v>
      </c>
      <c r="F17" s="40">
        <f>'[5]кв5.д1'!$AT$45</f>
        <v>3.14929</v>
      </c>
      <c r="G17" s="34">
        <f aca="true" t="shared" si="0" ref="G17:G22">E17+F17+D17+C17</f>
        <v>54.083186</v>
      </c>
    </row>
    <row r="18" spans="1:7" ht="12.75">
      <c r="A18" s="29" t="s">
        <v>15</v>
      </c>
      <c r="B18" s="12" t="s">
        <v>19</v>
      </c>
      <c r="C18" s="30">
        <f>'[3]кв5.д1'!$AT$51+'[3]кв5.д1'!$AT$55</f>
        <v>3.39814068</v>
      </c>
      <c r="D18" s="28">
        <f>'[4]кв5.д1'!$AT$54+'[4]кв5.д1'!$AT$58</f>
        <v>97.38650059279838</v>
      </c>
      <c r="E18" s="30">
        <f>'[1]кв5.д1'!$AT$54+'[1]кв5.д1'!$AT$58</f>
        <v>121.67064405096599</v>
      </c>
      <c r="F18" s="30">
        <f>'[5]кв5.д1'!$AT$54+'[5]кв5.д1'!$AT$58</f>
        <v>92.60937584537054</v>
      </c>
      <c r="G18" s="34">
        <f t="shared" si="0"/>
        <v>315.06466116913487</v>
      </c>
    </row>
    <row r="19" spans="1:7" ht="12.75">
      <c r="A19" s="29" t="s">
        <v>16</v>
      </c>
      <c r="B19" s="12" t="s">
        <v>5</v>
      </c>
      <c r="C19" s="30"/>
      <c r="D19" s="30">
        <f>'[4]кв5.д1'!$AT$81</f>
        <v>10.014266012092689</v>
      </c>
      <c r="E19" s="30">
        <f>'[1]кв5.д1'!$AT$81</f>
        <v>16.035228670807456</v>
      </c>
      <c r="F19" s="30">
        <f>'[5]кв5.д1'!$AT$81</f>
        <v>17.132016</v>
      </c>
      <c r="G19" s="34">
        <f t="shared" si="0"/>
        <v>43.18151068290015</v>
      </c>
    </row>
    <row r="20" spans="1:7" ht="12.75">
      <c r="A20" s="29" t="s">
        <v>17</v>
      </c>
      <c r="B20" s="12" t="s">
        <v>6</v>
      </c>
      <c r="C20" s="30">
        <f>'[3]кв5.д1'!$AT$84</f>
        <v>0.22835672</v>
      </c>
      <c r="D20" s="30">
        <f>'[4]кв5.д1'!$AT$83</f>
        <v>2.6589213609443982</v>
      </c>
      <c r="E20" s="30">
        <f>'[1]кв5.д1'!$AT$83</f>
        <v>1.5486518887622562</v>
      </c>
      <c r="F20" s="30">
        <f>'[5]кв5.д1'!$AT$83</f>
        <v>4.90837747969985</v>
      </c>
      <c r="G20" s="34">
        <f t="shared" si="0"/>
        <v>9.344307449406505</v>
      </c>
    </row>
    <row r="21" spans="1:7" ht="12.75">
      <c r="A21" s="29" t="s">
        <v>18</v>
      </c>
      <c r="B21" s="12" t="s">
        <v>7</v>
      </c>
      <c r="C21" s="30">
        <f>'[3]кв5.д1'!$AT$124</f>
        <v>0.50514776</v>
      </c>
      <c r="D21" s="30">
        <f>'[4]кв5.д1'!$AT$123</f>
        <v>11.78126927089509</v>
      </c>
      <c r="E21" s="30">
        <f>'[1]кв5.д1'!$AT$123</f>
        <v>14.437481237797716</v>
      </c>
      <c r="F21" s="30">
        <f>'[5]кв5.д1'!$AT$123</f>
        <v>9.592350575716152</v>
      </c>
      <c r="G21" s="34">
        <f t="shared" si="0"/>
        <v>36.31624884440895</v>
      </c>
    </row>
    <row r="22" spans="1:7" ht="12.75">
      <c r="A22" s="29" t="s">
        <v>20</v>
      </c>
      <c r="B22" s="41" t="s">
        <v>24</v>
      </c>
      <c r="C22" s="30"/>
      <c r="D22" s="30">
        <f>'[4]кв5.д1'!$AT$78</f>
        <v>0.1298538</v>
      </c>
      <c r="E22" s="30">
        <f>'[1]кв5.д1'!$AT$79+'[1]кв5.д1'!$AT$78+'[1]кв5.д1'!$AT$68</f>
        <v>0.210791</v>
      </c>
      <c r="F22" s="30">
        <f>'[5]кв5.д1'!$AT$66-'[5]кв5.д1'!$AT$81</f>
        <v>0.49070044871795204</v>
      </c>
      <c r="G22" s="34">
        <f t="shared" si="0"/>
        <v>0.831345248717952</v>
      </c>
    </row>
    <row r="23" spans="1:7" ht="13.5" thickBot="1">
      <c r="A23" s="29" t="s">
        <v>86</v>
      </c>
      <c r="B23" s="24" t="s">
        <v>87</v>
      </c>
      <c r="C23" s="30">
        <f>C12*15%</f>
        <v>2.4872974576271187</v>
      </c>
      <c r="D23" s="30">
        <f>D12*15%</f>
        <v>9.900300000000001</v>
      </c>
      <c r="E23" s="30">
        <f>E12*15%</f>
        <v>14.946278389830507</v>
      </c>
      <c r="F23" s="30">
        <f>F12*15%</f>
        <v>17.985699152542377</v>
      </c>
      <c r="G23" s="30">
        <f>G12*15%</f>
        <v>45.31957500000001</v>
      </c>
    </row>
    <row r="24" spans="1:7" ht="13.5" thickBot="1">
      <c r="A24" s="25"/>
      <c r="B24" s="26"/>
      <c r="C24" s="27"/>
      <c r="D24" s="27"/>
      <c r="E24" s="27"/>
      <c r="F24" s="27"/>
      <c r="G24" s="27"/>
    </row>
    <row r="25" spans="1:6" ht="12.75">
      <c r="A25" s="9"/>
      <c r="B25" s="9"/>
      <c r="C25" s="9"/>
      <c r="D25" s="9"/>
      <c r="E25" s="9"/>
      <c r="F25" s="9"/>
    </row>
    <row r="26" spans="1:7" ht="16.5">
      <c r="A26" s="55" t="s">
        <v>63</v>
      </c>
      <c r="B26" s="55"/>
      <c r="C26" s="55"/>
      <c r="D26" s="55"/>
      <c r="E26" s="55"/>
      <c r="F26" s="55"/>
      <c r="G26" s="55"/>
    </row>
    <row r="27" spans="1:6" ht="24.75" customHeight="1">
      <c r="A27" s="148" t="s">
        <v>65</v>
      </c>
      <c r="B27" s="149"/>
      <c r="C27" s="65" t="s">
        <v>66</v>
      </c>
      <c r="D27" s="66"/>
      <c r="E27" s="66"/>
      <c r="F27" s="62" t="s">
        <v>67</v>
      </c>
    </row>
    <row r="28" spans="1:6" ht="25.5" customHeight="1">
      <c r="A28" s="146" t="s">
        <v>60</v>
      </c>
      <c r="B28" s="147"/>
      <c r="C28" s="126" t="s">
        <v>83</v>
      </c>
      <c r="D28" s="127"/>
      <c r="E28" s="128"/>
      <c r="F28" s="71">
        <v>0.55227</v>
      </c>
    </row>
    <row r="29" spans="1:6" ht="19.5" customHeight="1">
      <c r="A29" s="146" t="s">
        <v>129</v>
      </c>
      <c r="B29" s="147"/>
      <c r="C29" s="126" t="s">
        <v>133</v>
      </c>
      <c r="D29" s="127"/>
      <c r="E29" s="128"/>
      <c r="F29" s="71">
        <v>0.19793</v>
      </c>
    </row>
    <row r="30" spans="1:6" ht="17.25" customHeight="1">
      <c r="A30" s="146" t="s">
        <v>157</v>
      </c>
      <c r="B30" s="147"/>
      <c r="C30" s="126" t="s">
        <v>167</v>
      </c>
      <c r="D30" s="127"/>
      <c r="E30" s="128"/>
      <c r="F30" s="71">
        <v>2.39909</v>
      </c>
    </row>
    <row r="31" spans="1:6" ht="15.75" customHeight="1">
      <c r="A31" s="146"/>
      <c r="B31" s="147"/>
      <c r="C31" s="61"/>
      <c r="D31" s="61"/>
      <c r="E31" s="61"/>
      <c r="F31" s="71"/>
    </row>
    <row r="32" spans="1:6" ht="15.75" customHeight="1">
      <c r="A32" s="146"/>
      <c r="B32" s="147"/>
      <c r="C32" s="61"/>
      <c r="D32" s="61"/>
      <c r="E32" s="61"/>
      <c r="F32" s="71"/>
    </row>
    <row r="33" spans="1:7" s="2" customFormat="1" ht="12.75">
      <c r="A33" s="136" t="s">
        <v>64</v>
      </c>
      <c r="B33" s="137"/>
      <c r="C33" s="61"/>
      <c r="D33" s="61"/>
      <c r="E33" s="61"/>
      <c r="F33" s="71">
        <f>SUM(F28:F32)</f>
        <v>3.14929</v>
      </c>
      <c r="G33"/>
    </row>
    <row r="34" spans="1:6" ht="12.75">
      <c r="A34" s="9"/>
      <c r="B34" s="9"/>
      <c r="C34" s="9"/>
      <c r="D34" s="9"/>
      <c r="E34" s="9"/>
      <c r="F34" s="9"/>
    </row>
    <row r="35" spans="1:6" ht="68.25" customHeight="1">
      <c r="A35" s="129" t="s">
        <v>22</v>
      </c>
      <c r="B35" s="129"/>
      <c r="C35" s="31"/>
      <c r="E35" s="9"/>
      <c r="F35" s="15" t="s">
        <v>148</v>
      </c>
    </row>
    <row r="36" spans="1:7" ht="48" customHeight="1">
      <c r="A36" s="134" t="s">
        <v>9</v>
      </c>
      <c r="B36" s="134"/>
      <c r="C36" s="15"/>
      <c r="E36" s="9"/>
      <c r="F36" s="15" t="s">
        <v>197</v>
      </c>
      <c r="G36" s="1"/>
    </row>
    <row r="37" spans="1:7" ht="12.75">
      <c r="A37" s="9"/>
      <c r="B37" s="15"/>
      <c r="C37" s="15"/>
      <c r="D37" s="15"/>
      <c r="E37" s="9"/>
      <c r="F37" s="9"/>
      <c r="G37" s="1"/>
    </row>
    <row r="38" spans="1:7" ht="12.75">
      <c r="A38" s="9"/>
      <c r="B38" s="9"/>
      <c r="C38" s="9"/>
      <c r="D38" s="9"/>
      <c r="E38" s="9"/>
      <c r="F38" s="9"/>
      <c r="G38" s="8"/>
    </row>
    <row r="39" spans="1:7" s="2" customFormat="1" ht="12.75">
      <c r="A39" s="15"/>
      <c r="B39" s="15"/>
      <c r="C39" s="15"/>
      <c r="D39" s="15"/>
      <c r="E39" s="15"/>
      <c r="F39" s="15"/>
      <c r="G39" s="8"/>
    </row>
    <row r="40" s="9" customFormat="1" ht="12.75">
      <c r="G40"/>
    </row>
    <row r="41" s="9" customFormat="1" ht="12.75"/>
    <row r="42" spans="2:7" ht="12.75">
      <c r="B42" s="9"/>
      <c r="C42" s="9"/>
      <c r="D42" s="9"/>
      <c r="E42" s="9"/>
      <c r="F42" s="9"/>
      <c r="G42" s="9"/>
    </row>
    <row r="43" s="9" customFormat="1" ht="12.75"/>
    <row r="44" s="9" customFormat="1" ht="12.75">
      <c r="A44" s="11" t="s">
        <v>11</v>
      </c>
    </row>
    <row r="45" spans="1:3" s="9" customFormat="1" ht="12.75">
      <c r="A45" s="9" t="s">
        <v>21</v>
      </c>
      <c r="C45" s="11"/>
    </row>
    <row r="46" s="9" customFormat="1" ht="12.75">
      <c r="A46" s="9" t="s">
        <v>90</v>
      </c>
    </row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>
      <c r="G54"/>
    </row>
    <row r="55" s="9" customFormat="1" ht="12.75">
      <c r="G55"/>
    </row>
  </sheetData>
  <sheetProtection/>
  <mergeCells count="15">
    <mergeCell ref="C28:E28"/>
    <mergeCell ref="C29:E29"/>
    <mergeCell ref="C30:E30"/>
    <mergeCell ref="A5:E5"/>
    <mergeCell ref="B7:E7"/>
    <mergeCell ref="A8:E8"/>
    <mergeCell ref="A35:B35"/>
    <mergeCell ref="A36:B36"/>
    <mergeCell ref="A28:B28"/>
    <mergeCell ref="A29:B29"/>
    <mergeCell ref="A30:B30"/>
    <mergeCell ref="A27:B27"/>
    <mergeCell ref="A31:B31"/>
    <mergeCell ref="A32:B32"/>
    <mergeCell ref="A33:B33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O53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5.125" style="0" customWidth="1"/>
    <col min="2" max="2" width="42.00390625" style="0" customWidth="1"/>
    <col min="3" max="3" width="11.375" style="0" customWidth="1"/>
    <col min="4" max="4" width="9.625" style="0" customWidth="1"/>
    <col min="5" max="6" width="11.125" style="0" customWidth="1"/>
  </cols>
  <sheetData>
    <row r="5" spans="1:5" ht="26.25">
      <c r="A5" s="117" t="s">
        <v>3</v>
      </c>
      <c r="B5" s="117"/>
      <c r="C5" s="117"/>
      <c r="D5" s="117"/>
      <c r="E5" s="117"/>
    </row>
    <row r="7" spans="1:6" s="2" customFormat="1" ht="15.75">
      <c r="A7" s="32"/>
      <c r="B7" s="118" t="s">
        <v>23</v>
      </c>
      <c r="C7" s="118"/>
      <c r="D7" s="118"/>
      <c r="E7" s="118"/>
      <c r="F7" s="21"/>
    </row>
    <row r="8" spans="1:6" s="2" customFormat="1" ht="15.75">
      <c r="A8" s="118" t="s">
        <v>196</v>
      </c>
      <c r="B8" s="118"/>
      <c r="C8" s="118"/>
      <c r="D8" s="118"/>
      <c r="E8" s="118"/>
      <c r="F8" s="21"/>
    </row>
    <row r="9" s="2" customFormat="1" ht="12.75">
      <c r="B9" s="22"/>
    </row>
    <row r="10" ht="13.5" thickBot="1">
      <c r="F10" t="s">
        <v>192</v>
      </c>
    </row>
    <row r="11" spans="1:7" s="4" customFormat="1" ht="48.75" customHeight="1">
      <c r="A11" s="3" t="s">
        <v>0</v>
      </c>
      <c r="B11" s="17" t="s">
        <v>1</v>
      </c>
      <c r="C11" s="18" t="s">
        <v>32</v>
      </c>
      <c r="D11" s="18" t="s">
        <v>26</v>
      </c>
      <c r="E11" s="18" t="s">
        <v>39</v>
      </c>
      <c r="F11" s="18" t="s">
        <v>52</v>
      </c>
      <c r="G11" s="18" t="s">
        <v>88</v>
      </c>
    </row>
    <row r="12" spans="1:7" ht="25.5">
      <c r="A12" s="6">
        <v>1</v>
      </c>
      <c r="B12" s="20" t="s">
        <v>193</v>
      </c>
      <c r="C12" s="36">
        <f>19.5802/1.18</f>
        <v>16.593389830508478</v>
      </c>
      <c r="D12" s="36">
        <f>77.44454/1.18</f>
        <v>65.63096610169492</v>
      </c>
      <c r="E12" s="34">
        <f>117.0154/1.18</f>
        <v>99.16559322033899</v>
      </c>
      <c r="F12" s="34">
        <f>'[8]07.12'!$W$17/1.18/1000</f>
        <v>119.59001694915254</v>
      </c>
      <c r="G12" s="34">
        <f>E12+F12+D12+C12</f>
        <v>300.97996610169497</v>
      </c>
    </row>
    <row r="13" spans="1:7" ht="25.5">
      <c r="A13" s="6">
        <v>2</v>
      </c>
      <c r="B13" s="20" t="s">
        <v>199</v>
      </c>
      <c r="C13" s="44">
        <f>10.95727/1.18</f>
        <v>9.285822033898304</v>
      </c>
      <c r="D13" s="44">
        <f>83.89536/1.18</f>
        <v>71.0977627118644</v>
      </c>
      <c r="E13" s="30">
        <f>98.24396/1.18</f>
        <v>83.25759322033899</v>
      </c>
      <c r="F13" s="30">
        <f>'[8]07.12'!$X$17/1.18/1000</f>
        <v>109.27001694915255</v>
      </c>
      <c r="G13" s="34">
        <f>E13+F13+D13+C13</f>
        <v>272.9111949152542</v>
      </c>
    </row>
    <row r="14" spans="1:7" ht="25.5">
      <c r="A14" s="6">
        <v>3</v>
      </c>
      <c r="B14" s="20" t="s">
        <v>194</v>
      </c>
      <c r="C14" s="30">
        <f>(C12-C13)*1.18</f>
        <v>8.622930000000006</v>
      </c>
      <c r="D14" s="30">
        <f>(D12-D13)*1.18+C14</f>
        <v>2.1721100000000177</v>
      </c>
      <c r="E14" s="30">
        <f>(E12-E13)*1.18+D14</f>
        <v>20.94355000000002</v>
      </c>
      <c r="F14" s="30">
        <f>(F12-F13)*1.18+E14+F15</f>
        <v>33.121150000000014</v>
      </c>
      <c r="G14" s="30">
        <f>(G12-G13)*1.18</f>
        <v>33.12115000000009</v>
      </c>
    </row>
    <row r="15" spans="1:7" ht="12.75">
      <c r="A15" s="6"/>
      <c r="B15" s="12"/>
      <c r="C15" s="19"/>
      <c r="D15" s="19"/>
      <c r="E15" s="23"/>
      <c r="F15" s="42"/>
      <c r="G15" s="23"/>
    </row>
    <row r="16" spans="1:15" ht="31.5" customHeight="1">
      <c r="A16" s="6">
        <v>4</v>
      </c>
      <c r="B16" s="20" t="s">
        <v>2</v>
      </c>
      <c r="C16" s="30">
        <f>SUM(C17:C23)</f>
        <v>16.557803634576274</v>
      </c>
      <c r="D16" s="30">
        <f>SUM(D17:D23)</f>
        <v>169.57284503946138</v>
      </c>
      <c r="E16" s="30">
        <f>SUM(E17:E23)</f>
        <v>177.36620219291004</v>
      </c>
      <c r="F16" s="30">
        <f>SUM(F17:F23)</f>
        <v>148.83209556298132</v>
      </c>
      <c r="G16" s="34">
        <f>E16+F16+D16+C16</f>
        <v>512.328946429929</v>
      </c>
      <c r="H16" s="68"/>
      <c r="I16" s="68"/>
      <c r="J16" s="68"/>
      <c r="K16" s="68"/>
      <c r="L16" s="68"/>
      <c r="M16" s="68"/>
      <c r="N16" s="68"/>
      <c r="O16" s="68"/>
    </row>
    <row r="17" spans="1:7" ht="12.75">
      <c r="A17" s="29" t="s">
        <v>14</v>
      </c>
      <c r="B17" s="12" t="s">
        <v>4</v>
      </c>
      <c r="C17" s="30">
        <f>'[3]кв5.д2'!$AT$44</f>
        <v>9.93715</v>
      </c>
      <c r="D17" s="30">
        <f>'[4]кв5.д2'!$AT$45</f>
        <v>23.176609000000003</v>
      </c>
      <c r="E17" s="40">
        <f>'[1]кв5.д2'!$AT$45</f>
        <v>32.739407</v>
      </c>
      <c r="F17" s="40">
        <f>'[5]кв5.д2'!$AT$45</f>
        <v>6.03911</v>
      </c>
      <c r="G17" s="34">
        <f aca="true" t="shared" si="0" ref="G17:G22">E17+F17+D17+C17</f>
        <v>71.89227600000001</v>
      </c>
    </row>
    <row r="18" spans="1:7" ht="12.75">
      <c r="A18" s="29" t="s">
        <v>15</v>
      </c>
      <c r="B18" s="12" t="s">
        <v>19</v>
      </c>
      <c r="C18" s="30">
        <f>'[3]кв5.д2'!$AT$51+'[3]кв5.д2'!$AT$55</f>
        <v>3.39814068</v>
      </c>
      <c r="D18" s="28">
        <f>'[4]кв5.д2'!$AT$54+'[4]кв5.д2'!$AT$58</f>
        <v>108.13209645345364</v>
      </c>
      <c r="E18" s="30">
        <f>'[1]кв5.д2'!$AT$54+'[1]кв5.д2'!$AT$58</f>
        <v>98.40380609932615</v>
      </c>
      <c r="F18" s="30">
        <f>'[5]кв5.д2'!$AT$54+'[5]кв5.д2'!$AT$58</f>
        <v>92.16670387267926</v>
      </c>
      <c r="G18" s="34">
        <f t="shared" si="0"/>
        <v>302.10074710545905</v>
      </c>
    </row>
    <row r="19" spans="1:7" ht="12.75">
      <c r="A19" s="29" t="s">
        <v>16</v>
      </c>
      <c r="B19" s="12" t="s">
        <v>5</v>
      </c>
      <c r="C19" s="30"/>
      <c r="D19" s="30">
        <f>'[4]кв5.д2'!$AT$81</f>
        <v>9.959033298945311</v>
      </c>
      <c r="E19" s="30">
        <f>'[1]кв5.д2'!$AT$81</f>
        <v>15.953905444720498</v>
      </c>
      <c r="F19" s="30">
        <f>'[5]кв5.д2'!$AT$81</f>
        <v>17.0617845</v>
      </c>
      <c r="G19" s="34">
        <f t="shared" si="0"/>
        <v>42.97472324366581</v>
      </c>
    </row>
    <row r="20" spans="1:7" ht="12.75">
      <c r="A20" s="29" t="s">
        <v>17</v>
      </c>
      <c r="B20" s="12" t="s">
        <v>6</v>
      </c>
      <c r="C20" s="30">
        <f>'[3]кв5.д2'!$AT$84</f>
        <v>0.22835672</v>
      </c>
      <c r="D20" s="30">
        <f>'[4]кв5.д2'!$AT$83</f>
        <v>5.427122059162012</v>
      </c>
      <c r="E20" s="30">
        <f>'[1]кв5.д2'!$AT$83</f>
        <v>3.116598293597799</v>
      </c>
      <c r="F20" s="30">
        <f>'[5]кв5.д2'!$AT$83</f>
        <v>5.402543223851497</v>
      </c>
      <c r="G20" s="34">
        <f t="shared" si="0"/>
        <v>14.174620296611309</v>
      </c>
    </row>
    <row r="21" spans="1:7" ht="12.75">
      <c r="A21" s="29" t="s">
        <v>18</v>
      </c>
      <c r="B21" s="12" t="s">
        <v>7</v>
      </c>
      <c r="C21" s="30">
        <f>'[3]кв5.д2'!$AT$124</f>
        <v>0.50514776</v>
      </c>
      <c r="D21" s="30">
        <f>'[4]кв5.д2'!$AT$123</f>
        <v>12.903485512646162</v>
      </c>
      <c r="E21" s="30">
        <f>'[1]кв5.д2'!$AT$123</f>
        <v>12.066855372214754</v>
      </c>
      <c r="F21" s="30">
        <f>'[5]кв5.д2'!$AT$123</f>
        <v>9.73275097535976</v>
      </c>
      <c r="G21" s="34">
        <f t="shared" si="0"/>
        <v>35.208239620220674</v>
      </c>
    </row>
    <row r="22" spans="1:7" ht="12.75">
      <c r="A22" s="29" t="s">
        <v>20</v>
      </c>
      <c r="B22" s="41" t="s">
        <v>24</v>
      </c>
      <c r="C22" s="30"/>
      <c r="D22" s="30">
        <f>'[4]кв5.д2'!$AT$78</f>
        <v>0.1298538</v>
      </c>
      <c r="E22" s="30">
        <f>'[1]кв5.д2'!$AT$79+'[1]кв5.д2'!$AT$78+'[1]кв5.д1'!$AT$68</f>
        <v>0.210791</v>
      </c>
      <c r="F22" s="30">
        <f>'[5]кв5.д2'!$AT$66-'[5]кв5.д2'!$AT$81</f>
        <v>0.4907004487179485</v>
      </c>
      <c r="G22" s="34">
        <f t="shared" si="0"/>
        <v>0.8313452487179485</v>
      </c>
    </row>
    <row r="23" spans="1:7" ht="13.5" thickBot="1">
      <c r="A23" s="29" t="s">
        <v>86</v>
      </c>
      <c r="B23" s="24" t="s">
        <v>87</v>
      </c>
      <c r="C23" s="30">
        <f>C12*15%</f>
        <v>2.4890084745762717</v>
      </c>
      <c r="D23" s="30">
        <f>D12*15%</f>
        <v>9.844644915254237</v>
      </c>
      <c r="E23" s="30">
        <f>E12*15%</f>
        <v>14.874838983050848</v>
      </c>
      <c r="F23" s="30">
        <f>F12*15%</f>
        <v>17.93850254237288</v>
      </c>
      <c r="G23" s="30">
        <f>G12*15%</f>
        <v>45.14699491525425</v>
      </c>
    </row>
    <row r="24" spans="1:7" ht="13.5" thickBot="1">
      <c r="A24" s="25"/>
      <c r="B24" s="26"/>
      <c r="C24" s="27"/>
      <c r="D24" s="27"/>
      <c r="E24" s="27"/>
      <c r="F24" s="27"/>
      <c r="G24" s="27"/>
    </row>
    <row r="25" spans="1:6" ht="12.75">
      <c r="A25" s="9"/>
      <c r="B25" s="9"/>
      <c r="C25" s="9"/>
      <c r="D25" s="9"/>
      <c r="E25" s="9"/>
      <c r="F25" s="9"/>
    </row>
    <row r="26" spans="1:7" ht="16.5">
      <c r="A26" s="55" t="s">
        <v>63</v>
      </c>
      <c r="B26" s="55"/>
      <c r="C26" s="55"/>
      <c r="D26" s="55"/>
      <c r="E26" s="55"/>
      <c r="F26" s="55"/>
      <c r="G26" s="55"/>
    </row>
    <row r="27" spans="1:6" ht="24.75" customHeight="1">
      <c r="A27" s="148" t="s">
        <v>65</v>
      </c>
      <c r="B27" s="149"/>
      <c r="C27" s="65" t="s">
        <v>66</v>
      </c>
      <c r="D27" s="66"/>
      <c r="E27" s="66"/>
      <c r="F27" s="62" t="s">
        <v>67</v>
      </c>
    </row>
    <row r="28" spans="1:6" ht="25.5" customHeight="1">
      <c r="A28" s="146" t="s">
        <v>60</v>
      </c>
      <c r="B28" s="147"/>
      <c r="C28" s="60" t="s">
        <v>84</v>
      </c>
      <c r="D28" s="61"/>
      <c r="E28" s="61"/>
      <c r="F28" s="40">
        <v>0.28904</v>
      </c>
    </row>
    <row r="29" spans="1:6" ht="25.5" customHeight="1">
      <c r="A29" s="146" t="s">
        <v>55</v>
      </c>
      <c r="B29" s="147"/>
      <c r="C29" s="60" t="s">
        <v>85</v>
      </c>
      <c r="D29" s="61"/>
      <c r="E29" s="61"/>
      <c r="F29" s="40">
        <v>5.552</v>
      </c>
    </row>
    <row r="30" spans="1:6" ht="25.5" customHeight="1">
      <c r="A30" s="146" t="s">
        <v>129</v>
      </c>
      <c r="B30" s="147"/>
      <c r="C30" s="61" t="s">
        <v>133</v>
      </c>
      <c r="D30" s="61"/>
      <c r="E30" s="61"/>
      <c r="F30" s="40">
        <v>0.19793</v>
      </c>
    </row>
    <row r="31" spans="1:6" ht="18.75" customHeight="1">
      <c r="A31" s="146"/>
      <c r="B31" s="147"/>
      <c r="C31" s="61"/>
      <c r="D31" s="61"/>
      <c r="E31" s="61"/>
      <c r="F31" s="40"/>
    </row>
    <row r="32" spans="1:6" ht="15.75" customHeight="1">
      <c r="A32" s="146"/>
      <c r="B32" s="147"/>
      <c r="C32" s="61"/>
      <c r="D32" s="61"/>
      <c r="E32" s="61"/>
      <c r="F32" s="40"/>
    </row>
    <row r="33" spans="1:6" ht="15.75" customHeight="1">
      <c r="A33" s="146"/>
      <c r="B33" s="147"/>
      <c r="C33" s="61"/>
      <c r="D33" s="61"/>
      <c r="E33" s="61"/>
      <c r="F33" s="40"/>
    </row>
    <row r="34" spans="1:7" s="2" customFormat="1" ht="12.75">
      <c r="A34" s="146" t="s">
        <v>64</v>
      </c>
      <c r="B34" s="147" t="s">
        <v>64</v>
      </c>
      <c r="C34" s="61"/>
      <c r="D34" s="61"/>
      <c r="E34" s="61"/>
      <c r="F34" s="54">
        <f>SUM(F28:F33)</f>
        <v>6.03897</v>
      </c>
      <c r="G34"/>
    </row>
    <row r="35" spans="1:6" ht="12.75">
      <c r="A35" s="9"/>
      <c r="B35" s="9"/>
      <c r="C35" s="9"/>
      <c r="D35" s="9"/>
      <c r="E35" s="9"/>
      <c r="F35" s="9"/>
    </row>
    <row r="36" spans="1:6" ht="68.25" customHeight="1">
      <c r="A36" s="129" t="s">
        <v>22</v>
      </c>
      <c r="B36" s="129"/>
      <c r="C36" s="31"/>
      <c r="E36" s="9"/>
      <c r="F36" s="15" t="s">
        <v>148</v>
      </c>
    </row>
    <row r="37" spans="1:7" ht="48" customHeight="1">
      <c r="A37" s="134" t="s">
        <v>9</v>
      </c>
      <c r="B37" s="134"/>
      <c r="C37" s="15"/>
      <c r="E37" s="9"/>
      <c r="F37" s="15" t="s">
        <v>197</v>
      </c>
      <c r="G37" s="1"/>
    </row>
    <row r="38" spans="1:7" ht="12.75">
      <c r="A38" s="9"/>
      <c r="B38" s="15"/>
      <c r="C38" s="15"/>
      <c r="D38" s="15"/>
      <c r="E38" s="9"/>
      <c r="F38" s="9"/>
      <c r="G38" s="1"/>
    </row>
    <row r="39" spans="1:7" ht="12.75">
      <c r="A39" s="9"/>
      <c r="B39" s="9"/>
      <c r="C39" s="9"/>
      <c r="D39" s="9"/>
      <c r="E39" s="9"/>
      <c r="F39" s="9"/>
      <c r="G39" s="8"/>
    </row>
    <row r="40" spans="1:7" s="2" customFormat="1" ht="12.75">
      <c r="A40" s="15"/>
      <c r="B40" s="15"/>
      <c r="C40" s="15"/>
      <c r="D40" s="15"/>
      <c r="E40" s="15"/>
      <c r="F40" s="15"/>
      <c r="G40" s="8"/>
    </row>
    <row r="41" s="9" customFormat="1" ht="12.75">
      <c r="G41"/>
    </row>
    <row r="42" s="9" customFormat="1" ht="12.75"/>
    <row r="43" spans="2:3" s="9" customFormat="1" ht="12.75">
      <c r="B43" s="11" t="s">
        <v>11</v>
      </c>
      <c r="C43" s="11"/>
    </row>
    <row r="44" s="9" customFormat="1" ht="12.75">
      <c r="B44" s="9" t="s">
        <v>21</v>
      </c>
    </row>
    <row r="45" s="9" customFormat="1" ht="12.75">
      <c r="B45" s="9" t="s">
        <v>90</v>
      </c>
    </row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>
      <c r="G52"/>
    </row>
    <row r="53" s="9" customFormat="1" ht="12.75">
      <c r="G53"/>
    </row>
  </sheetData>
  <sheetProtection/>
  <mergeCells count="13">
    <mergeCell ref="A27:B27"/>
    <mergeCell ref="A30:B30"/>
    <mergeCell ref="A5:E5"/>
    <mergeCell ref="B7:E7"/>
    <mergeCell ref="A8:E8"/>
    <mergeCell ref="A36:B36"/>
    <mergeCell ref="A37:B37"/>
    <mergeCell ref="A28:B28"/>
    <mergeCell ref="A29:B29"/>
    <mergeCell ref="A31:B31"/>
    <mergeCell ref="A32:B32"/>
    <mergeCell ref="A33:B33"/>
    <mergeCell ref="A34:B34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N5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9.625" style="0" customWidth="1"/>
    <col min="4" max="5" width="11.125" style="0" customWidth="1"/>
    <col min="7" max="7" width="9.625" style="0" customWidth="1"/>
  </cols>
  <sheetData>
    <row r="5" spans="1:4" ht="26.25">
      <c r="A5" s="117" t="s">
        <v>3</v>
      </c>
      <c r="B5" s="117"/>
      <c r="C5" s="117"/>
      <c r="D5" s="117"/>
    </row>
    <row r="7" spans="1:5" s="2" customFormat="1" ht="15.75">
      <c r="A7" s="32"/>
      <c r="B7" s="118" t="s">
        <v>23</v>
      </c>
      <c r="C7" s="118"/>
      <c r="D7" s="118"/>
      <c r="E7" s="21"/>
    </row>
    <row r="8" spans="1:5" s="2" customFormat="1" ht="15.75">
      <c r="A8" s="118" t="s">
        <v>200</v>
      </c>
      <c r="B8" s="118"/>
      <c r="C8" s="118"/>
      <c r="D8" s="118"/>
      <c r="E8" s="21"/>
    </row>
    <row r="9" s="2" customFormat="1" ht="12.75">
      <c r="B9" s="22"/>
    </row>
    <row r="10" spans="2:5" s="2" customFormat="1" ht="12.75">
      <c r="B10" s="21"/>
      <c r="C10" s="21"/>
      <c r="D10" s="21"/>
      <c r="E10" s="21"/>
    </row>
    <row r="11" s="2" customFormat="1" ht="12.75">
      <c r="B11" s="1"/>
    </row>
    <row r="12" ht="13.5" thickBot="1">
      <c r="E12" t="s">
        <v>192</v>
      </c>
    </row>
    <row r="13" spans="1:6" s="4" customFormat="1" ht="48.75" customHeight="1">
      <c r="A13" s="3" t="s">
        <v>0</v>
      </c>
      <c r="B13" s="17" t="s">
        <v>1</v>
      </c>
      <c r="C13" s="18" t="s">
        <v>36</v>
      </c>
      <c r="D13" s="18" t="s">
        <v>39</v>
      </c>
      <c r="E13" s="18" t="s">
        <v>52</v>
      </c>
      <c r="F13" s="18" t="s">
        <v>88</v>
      </c>
    </row>
    <row r="14" spans="1:6" ht="12.75">
      <c r="A14" s="6">
        <v>1</v>
      </c>
      <c r="B14" s="13" t="s">
        <v>12</v>
      </c>
      <c r="C14" s="36">
        <f>454.2282/1.18</f>
        <v>384.93915254237294</v>
      </c>
      <c r="D14" s="34">
        <f>838.99814/1.18</f>
        <v>711.015372881356</v>
      </c>
      <c r="E14" s="34">
        <f>'[9]10.2012'!$P$5/1.18/1000</f>
        <v>808.580186440678</v>
      </c>
      <c r="F14" s="34">
        <f>C14+D14+E14</f>
        <v>1904.5347118644067</v>
      </c>
    </row>
    <row r="15" spans="1:6" ht="12.75">
      <c r="A15" s="6">
        <v>2</v>
      </c>
      <c r="B15" s="13" t="s">
        <v>13</v>
      </c>
      <c r="C15" s="44">
        <f>248.84428/1.18</f>
        <v>210.88498305084747</v>
      </c>
      <c r="D15" s="30">
        <f>788.7995/1.18</f>
        <v>668.4741525423728</v>
      </c>
      <c r="E15" s="30">
        <f>'[9]10.2012'!$Q$5/1.18/1000</f>
        <v>868.5975423728814</v>
      </c>
      <c r="F15" s="34">
        <f>C15+D15+E15</f>
        <v>1747.9566779661018</v>
      </c>
    </row>
    <row r="16" spans="1:6" ht="25.5">
      <c r="A16" s="6">
        <v>3</v>
      </c>
      <c r="B16" s="20" t="s">
        <v>194</v>
      </c>
      <c r="C16" s="33">
        <f>(C14-C15)*1.18</f>
        <v>205.38392000000005</v>
      </c>
      <c r="D16" s="30">
        <f>(D14-D15)*1.18+C16+D17</f>
        <v>237.6307900000002</v>
      </c>
      <c r="E16" s="30">
        <f>(E14-E15)*1.18+D16+E17</f>
        <v>166.81031000000007</v>
      </c>
      <c r="F16" s="67">
        <f>(F14-F15)*1.18+F17</f>
        <v>166.81030999999984</v>
      </c>
    </row>
    <row r="17" spans="1:6" ht="12.75">
      <c r="A17" s="6"/>
      <c r="B17" s="12" t="s">
        <v>41</v>
      </c>
      <c r="C17" s="19"/>
      <c r="D17" s="42">
        <v>-17.95177</v>
      </c>
      <c r="E17" s="69"/>
      <c r="F17" s="63">
        <f>C17+D17+E17</f>
        <v>-17.95177</v>
      </c>
    </row>
    <row r="18" spans="1:14" ht="31.5" customHeight="1">
      <c r="A18" s="6">
        <v>4</v>
      </c>
      <c r="B18" s="20" t="s">
        <v>2</v>
      </c>
      <c r="C18" s="30">
        <f>SUM(C19:C25)</f>
        <v>246.99840888135594</v>
      </c>
      <c r="D18" s="30">
        <f>SUM(D19:D25)</f>
        <v>872.1785219108833</v>
      </c>
      <c r="E18" s="70">
        <f>SUM(E19:E25)</f>
        <v>777.8803079661018</v>
      </c>
      <c r="F18" s="40">
        <f aca="true" t="shared" si="0" ref="F18:F24">E18+D18+C18</f>
        <v>1897.057238758341</v>
      </c>
      <c r="G18" s="109"/>
      <c r="H18" s="68"/>
      <c r="I18" s="68"/>
      <c r="J18" s="68"/>
      <c r="K18" s="68"/>
      <c r="L18" s="68"/>
      <c r="M18" s="68"/>
      <c r="N18" s="68"/>
    </row>
    <row r="19" spans="1:6" ht="12.75">
      <c r="A19" s="29" t="s">
        <v>14</v>
      </c>
      <c r="B19" s="12" t="s">
        <v>4</v>
      </c>
      <c r="C19" s="30">
        <f>'[4]Октяб.рн Первомайс 4а'!$AT$45</f>
        <v>17.58921</v>
      </c>
      <c r="D19" s="40">
        <f>'[1]Октяб.рн Первомайс 4а'!$AT$45</f>
        <v>109.24595000000001</v>
      </c>
      <c r="E19" s="40">
        <f>'[5]Октяб.рн Первомайс 4а'!$AT$45</f>
        <v>70.32356</v>
      </c>
      <c r="F19" s="40">
        <f t="shared" si="0"/>
        <v>197.15872000000002</v>
      </c>
    </row>
    <row r="20" spans="1:6" ht="12.75">
      <c r="A20" s="29" t="s">
        <v>15</v>
      </c>
      <c r="B20" s="12" t="s">
        <v>19</v>
      </c>
      <c r="C20" s="28">
        <f>'[4]Октяб.рн Первомайс 4а'!$AT$54+'[4]Октяб.рн Первомайс 4а'!$AT$58</f>
        <v>115.85971899999998</v>
      </c>
      <c r="D20" s="30">
        <f>'[1]Октяб.рн Первомайс 4а'!$AT$54+'[1]Октяб.рн Первомайс 4а'!$AT$58</f>
        <v>488.56487897061993</v>
      </c>
      <c r="E20" s="30">
        <f>'[5]Октяб.рн Первомайс 4а'!$AT$54+'[5]Октяб.рн Первомайс 4а'!$AT$58</f>
        <v>439.71106000000003</v>
      </c>
      <c r="F20" s="30">
        <f t="shared" si="0"/>
        <v>1044.13565797062</v>
      </c>
    </row>
    <row r="21" spans="1:6" ht="12.75">
      <c r="A21" s="29" t="s">
        <v>16</v>
      </c>
      <c r="B21" s="12" t="s">
        <v>5</v>
      </c>
      <c r="C21" s="30">
        <f>'[4]Октяб.рн Первомайс 4а'!$AT$81</f>
        <v>44.51398</v>
      </c>
      <c r="D21" s="30">
        <f>'[1]Октяб.рн Первомайс 4а'!$AT$81</f>
        <v>93.82838</v>
      </c>
      <c r="E21" s="30">
        <f>'[5]Октяб.рн Первомайс 4а'!$AT$81</f>
        <v>86.88789</v>
      </c>
      <c r="F21" s="30">
        <f t="shared" si="0"/>
        <v>225.23025</v>
      </c>
    </row>
    <row r="22" spans="1:6" ht="12.75">
      <c r="A22" s="29" t="s">
        <v>17</v>
      </c>
      <c r="B22" s="12" t="s">
        <v>6</v>
      </c>
      <c r="C22" s="30">
        <f>'[4]Октяб.рн Первомайс 4а'!$AT$83</f>
        <v>1.15462</v>
      </c>
      <c r="D22" s="30">
        <f>'[1]Октяб.рн Первомайс 4а'!$AT$83</f>
        <v>2.7806599999999992</v>
      </c>
      <c r="E22" s="30">
        <f>'[5]Октяб.рн Первомайс 4а'!$AT$83</f>
        <v>14.874940000000002</v>
      </c>
      <c r="F22" s="30">
        <f t="shared" si="0"/>
        <v>18.81022</v>
      </c>
    </row>
    <row r="23" spans="1:6" ht="12.75">
      <c r="A23" s="29" t="s">
        <v>18</v>
      </c>
      <c r="B23" s="12" t="s">
        <v>7</v>
      </c>
      <c r="C23" s="30">
        <f>'[4]Октяб.рн Первомайс 4а'!$AT$123</f>
        <v>10.140007</v>
      </c>
      <c r="D23" s="30">
        <f>'[1]Октяб.рн Первомайс 4а'!$AT$123</f>
        <v>71.07134700805994</v>
      </c>
      <c r="E23" s="30">
        <f>'[5]Октяб.рн Первомайс 4а'!$AT$123</f>
        <v>43.18462</v>
      </c>
      <c r="F23" s="30">
        <f t="shared" si="0"/>
        <v>124.39597400805994</v>
      </c>
    </row>
    <row r="24" spans="1:6" ht="12.75">
      <c r="A24" s="29" t="s">
        <v>20</v>
      </c>
      <c r="B24" s="41" t="s">
        <v>24</v>
      </c>
      <c r="C24" s="30"/>
      <c r="D24" s="30">
        <f>'[1]Октяб.рн Первомайс 4а'!$AT$75+'[1]Октяб.рн Первомайс 4а'!$AT$73+'[1]Октяб.рн Первомайс 4а'!$AT$68</f>
        <v>0.035</v>
      </c>
      <c r="E24" s="30">
        <f>'[5]Октяб.рн Первомайс 4а'!$AT$66-'[5]Октяб.рн Первомайс 4а'!$AT$81</f>
        <v>1.6112099999999998</v>
      </c>
      <c r="F24" s="30">
        <f t="shared" si="0"/>
        <v>1.6462099999999997</v>
      </c>
    </row>
    <row r="25" spans="1:6" ht="13.5" thickBot="1">
      <c r="A25" s="29" t="s">
        <v>86</v>
      </c>
      <c r="B25" s="24" t="s">
        <v>87</v>
      </c>
      <c r="C25" s="30">
        <f>C14*15%</f>
        <v>57.74087288135594</v>
      </c>
      <c r="D25" s="30">
        <f>D14*15%</f>
        <v>106.6523059322034</v>
      </c>
      <c r="E25" s="30">
        <f>E14*15%</f>
        <v>121.28702796610169</v>
      </c>
      <c r="F25" s="30">
        <f>F14*15%</f>
        <v>285.680206779661</v>
      </c>
    </row>
    <row r="26" spans="1:6" ht="13.5" thickBot="1">
      <c r="A26" s="25"/>
      <c r="B26" s="26"/>
      <c r="C26" s="27"/>
      <c r="D26" s="27"/>
      <c r="E26" s="27"/>
      <c r="F26" s="27"/>
    </row>
    <row r="27" spans="1:5" ht="12.75">
      <c r="A27" s="9"/>
      <c r="B27" s="9"/>
      <c r="C27" s="9"/>
      <c r="D27" s="9"/>
      <c r="E27" s="9"/>
    </row>
    <row r="28" spans="1:5" ht="12.75">
      <c r="A28" s="9"/>
      <c r="B28" s="9"/>
      <c r="C28" s="9"/>
      <c r="D28" s="9"/>
      <c r="E28" s="9"/>
    </row>
    <row r="29" spans="1:5" ht="68.25" customHeight="1">
      <c r="A29" s="129" t="s">
        <v>22</v>
      </c>
      <c r="B29" s="129"/>
      <c r="E29" s="15" t="s">
        <v>148</v>
      </c>
    </row>
    <row r="30" spans="1:5" ht="48" customHeight="1">
      <c r="A30" s="15" t="s">
        <v>9</v>
      </c>
      <c r="E30" s="15" t="s">
        <v>197</v>
      </c>
    </row>
    <row r="31" spans="1:7" ht="12.75">
      <c r="A31" s="9"/>
      <c r="B31" s="15"/>
      <c r="C31" s="15"/>
      <c r="D31" s="9"/>
      <c r="E31" s="9"/>
      <c r="G31" s="5"/>
    </row>
    <row r="32" spans="1:7" ht="12.75">
      <c r="A32" s="9"/>
      <c r="B32" s="9"/>
      <c r="C32" s="9"/>
      <c r="D32" s="9"/>
      <c r="E32" s="9"/>
      <c r="G32" s="1"/>
    </row>
    <row r="33" spans="1:7" s="2" customFormat="1" ht="12.75">
      <c r="A33" s="15"/>
      <c r="B33" s="15"/>
      <c r="C33" s="15"/>
      <c r="D33" s="15"/>
      <c r="E33" s="15"/>
      <c r="F33"/>
      <c r="G33" s="7"/>
    </row>
    <row r="34" spans="6:7" s="9" customFormat="1" ht="12.75">
      <c r="F34"/>
      <c r="G34" s="7"/>
    </row>
    <row r="35" spans="6:7" s="9" customFormat="1" ht="12.75">
      <c r="F35"/>
      <c r="G35" s="7"/>
    </row>
    <row r="36" spans="1:5" ht="12.75">
      <c r="A36" s="9"/>
      <c r="B36" s="9"/>
      <c r="C36" s="9"/>
      <c r="D36" s="9"/>
      <c r="E36" s="9"/>
    </row>
    <row r="37" s="9" customFormat="1" ht="12.75">
      <c r="F37"/>
    </row>
    <row r="38" s="9" customFormat="1" ht="12.75">
      <c r="F38" s="1"/>
    </row>
    <row r="39" spans="2:6" s="9" customFormat="1" ht="12.75">
      <c r="B39" s="11" t="s">
        <v>11</v>
      </c>
      <c r="F39" s="1"/>
    </row>
    <row r="40" spans="2:6" s="9" customFormat="1" ht="12.75">
      <c r="B40" s="9" t="s">
        <v>21</v>
      </c>
      <c r="F40" s="8"/>
    </row>
    <row r="41" spans="2:6" s="9" customFormat="1" ht="12.75">
      <c r="B41" s="9" t="s">
        <v>90</v>
      </c>
      <c r="F41" s="8"/>
    </row>
    <row r="42" s="9" customFormat="1" ht="12.75">
      <c r="F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F50" s="9"/>
    </row>
    <row r="51" ht="12.75">
      <c r="F51" s="9"/>
    </row>
    <row r="52" ht="12.75">
      <c r="F52" s="9"/>
    </row>
    <row r="53" ht="12.75">
      <c r="F53" s="9"/>
    </row>
    <row r="54" ht="12.75">
      <c r="F54" s="9"/>
    </row>
    <row r="55" ht="12.75">
      <c r="F55" s="9"/>
    </row>
  </sheetData>
  <sheetProtection/>
  <mergeCells count="4">
    <mergeCell ref="A29:B29"/>
    <mergeCell ref="A5:D5"/>
    <mergeCell ref="B7:D7"/>
    <mergeCell ref="A8:D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R40"/>
  <sheetViews>
    <sheetView view="pageBreakPreview" zoomScaleSheetLayoutView="100" zoomScalePageLayoutView="0" workbookViewId="0" topLeftCell="C10">
      <selection activeCell="H28" sqref="H28"/>
    </sheetView>
  </sheetViews>
  <sheetFormatPr defaultColWidth="9.00390625" defaultRowHeight="12.75"/>
  <cols>
    <col min="1" max="1" width="4.375" style="0" customWidth="1"/>
    <col min="2" max="2" width="34.875" style="0" customWidth="1"/>
    <col min="3" max="3" width="11.25390625" style="0" customWidth="1"/>
    <col min="4" max="4" width="11.375" style="0" customWidth="1"/>
    <col min="5" max="5" width="11.75390625" style="0" customWidth="1"/>
    <col min="6" max="8" width="11.125" style="0" customWidth="1"/>
    <col min="10" max="10" width="9.625" style="0" bestFit="1" customWidth="1"/>
  </cols>
  <sheetData>
    <row r="6" spans="1:7" ht="26.25">
      <c r="A6" s="117" t="s">
        <v>3</v>
      </c>
      <c r="B6" s="117"/>
      <c r="C6" s="117"/>
      <c r="D6" s="117"/>
      <c r="E6" s="117"/>
      <c r="F6" s="117"/>
      <c r="G6" s="72"/>
    </row>
    <row r="7" spans="1:8" s="2" customFormat="1" ht="15.75">
      <c r="A7" s="32"/>
      <c r="B7" s="118" t="s">
        <v>23</v>
      </c>
      <c r="C7" s="118"/>
      <c r="D7" s="118"/>
      <c r="E7" s="118"/>
      <c r="F7" s="118"/>
      <c r="G7" s="73"/>
      <c r="H7" s="21"/>
    </row>
    <row r="8" spans="1:8" s="2" customFormat="1" ht="15.75">
      <c r="A8" s="118" t="s">
        <v>37</v>
      </c>
      <c r="B8" s="118"/>
      <c r="C8" s="118"/>
      <c r="D8" s="118"/>
      <c r="E8" s="118"/>
      <c r="F8" s="118"/>
      <c r="G8" s="73"/>
      <c r="H8" s="21"/>
    </row>
    <row r="9" spans="2:3" s="2" customFormat="1" ht="12.75">
      <c r="B9" s="22"/>
      <c r="C9" s="22"/>
    </row>
    <row r="10" spans="2:8" s="2" customFormat="1" ht="12.75">
      <c r="B10" s="21"/>
      <c r="C10" s="21"/>
      <c r="D10" s="21"/>
      <c r="E10" s="21"/>
      <c r="F10" s="21"/>
      <c r="G10" s="21"/>
      <c r="H10" s="21"/>
    </row>
    <row r="11" spans="2:3" s="2" customFormat="1" ht="12.75">
      <c r="B11" s="1"/>
      <c r="C11" s="1"/>
    </row>
    <row r="12" ht="13.5" thickBot="1"/>
    <row r="13" spans="1:8" s="4" customFormat="1" ht="48.75" customHeight="1">
      <c r="A13" s="3" t="s">
        <v>0</v>
      </c>
      <c r="B13" s="17" t="s">
        <v>1</v>
      </c>
      <c r="C13" s="18" t="s">
        <v>28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93</v>
      </c>
    </row>
    <row r="14" spans="1:8" ht="17.25" customHeight="1">
      <c r="A14" s="6">
        <v>1</v>
      </c>
      <c r="B14" s="13" t="s">
        <v>12</v>
      </c>
      <c r="C14" s="46">
        <v>2491.2297455932203</v>
      </c>
      <c r="D14" s="46">
        <v>4519.308906779661</v>
      </c>
      <c r="E14" s="37">
        <v>5802.400601694915</v>
      </c>
      <c r="F14" s="34">
        <v>6880.320618644068</v>
      </c>
      <c r="G14" s="34">
        <f>'КВ1.Д3'!E9+'КВ1.Д4'!G12+'КВ1.Д5'!G14+'КВ1.Д7'!E7+'КВ1.Д9'!E14+'КВ1.Д20'!E14+'КВ2.Д2'!G12+'КВ2.Д3'!G11+'КВ3.Д1'!F14+'КВ4.Д8'!E14+'КВ4.Д9'!F11+'КВ5.Д1'!F12+'КВ5.Д2'!F12+'Октяб. Первомайская'!E14+'ул.Ленинская 1'!G14+'ул.Ленинская 3'!G14+'ул.Ленинская 7'!G14+'ул.Советская 2'!G14+'ул.Советская 4'!G14+'ул.Советская 6'!G14+'ул.Советская 10'!G14</f>
        <v>4064.8703813559323</v>
      </c>
      <c r="H14" s="34">
        <f>'КВ1.Д3'!F9+'КВ1.Д4'!H12+'КВ1.Д5'!H14+'КВ1.Д7'!F7+'КВ1.Д9'!F14+'КВ1.Д20'!F14+'КВ2.Д2'!H12+'КВ2.Д3'!H11+'КВ3.Д1'!G14+'КВ4.Д8'!F14+'КВ4.Д9'!G11+'КВ5.Д1'!G12+'КВ5.Д2'!G12+'Октяб. Первомайская'!F14+'ул.Ленинская 1'!H14+'ул.Ленинская 3'!H14+'ул.Ленинская 7'!H14+'ул.Советская 2'!H14+'ул.Советская 4'!H14+'ул.Советская 6'!H14+'ул.Советская 10'!H14</f>
        <v>23758.1302540678</v>
      </c>
    </row>
    <row r="15" spans="1:8" ht="28.5" customHeight="1">
      <c r="A15" s="6">
        <v>2</v>
      </c>
      <c r="B15" s="20" t="s">
        <v>13</v>
      </c>
      <c r="C15" s="46">
        <v>1797.3075000000001</v>
      </c>
      <c r="D15" s="46">
        <v>3887.7981355932216</v>
      </c>
      <c r="E15" s="37">
        <v>5259.677</v>
      </c>
      <c r="F15" s="34">
        <v>6633.4842203389835</v>
      </c>
      <c r="G15" s="34">
        <f>'КВ1.Д3'!E10+'КВ1.Д4'!G13+'КВ1.Д5'!G15+'КВ1.Д7'!E8+'КВ1.Д9'!E15+'КВ1.Д20'!E15+'КВ2.Д2'!G13+'КВ2.Д3'!G12+'КВ3.Д1'!F15+'КВ4.Д8'!E15+'КВ4.Д9'!F12+'КВ5.Д1'!F13+'КВ5.Д2'!F13+'Октяб. Первомайская'!E15+'ул.Ленинская 1'!G15+'ул.Ленинская 3'!G15+'ул.Ленинская 7'!G15+'ул.Советская 2'!G15+'ул.Советская 4'!G15+'ул.Советская 6'!G15+'ул.Советская 10'!G15</f>
        <v>4832.537559322032</v>
      </c>
      <c r="H15" s="34">
        <f>'КВ1.Д3'!F10+'КВ1.Д4'!H13+'КВ1.Д5'!H15+'КВ1.Д7'!F8+'КВ1.Д9'!F15+'КВ1.Д20'!F15+'КВ2.Д2'!H13+'КВ2.Д3'!H12+'КВ3.Д1'!G15+'КВ4.Д8'!F15+'КВ4.Д9'!G12+'КВ5.Д1'!G13+'КВ5.Д2'!G13+'Октяб. Первомайская'!F15+'ул.Ленинская 1'!H15+'ул.Ленинская 3'!H15+'ул.Ленинская 7'!H15+'ул.Советская 2'!H15+'ул.Советская 4'!H15+'ул.Советская 6'!H15+'ул.Советская 10'!H15</f>
        <v>22410.80441525424</v>
      </c>
    </row>
    <row r="16" spans="1:8" ht="27.75" customHeight="1">
      <c r="A16" s="6">
        <v>3</v>
      </c>
      <c r="B16" s="20" t="s">
        <v>38</v>
      </c>
      <c r="C16" s="46">
        <v>818.8282498000002</v>
      </c>
      <c r="D16" s="46">
        <v>1564.0109598</v>
      </c>
      <c r="E16" s="37">
        <v>2204.4248098000003</v>
      </c>
      <c r="F16" s="34">
        <v>2427.8798598000003</v>
      </c>
      <c r="G16" s="34">
        <f>'КВ1.Д3'!E11+'КВ1.Д4'!G14+'КВ1.Д5'!G16+'КВ1.Д7'!E9+'КВ1.Д9'!E16+'КВ1.Д20'!E16+'КВ2.Д2'!G14+'КВ2.Д3'!G13+'КВ3.Д1'!F16+'КВ4.Д8'!E16+'КВ4.Д9'!F13+'КВ5.Д1'!F14+'КВ5.Д2'!F14+'Октяб. Первомайская'!E16+'ул.Ленинская 1'!G16+'ул.Ленинская 3'!G16+'ул.Ленинская 7'!G16+'ул.Советская 2'!G16+'ул.Советская 4'!G16+'ул.Советская 6'!G16+'ул.Советская 10'!G16</f>
        <v>1522.0325898000003</v>
      </c>
      <c r="H16" s="34">
        <f>'КВ1.Д3'!F11+'КВ1.Д4'!H14+'КВ1.Д5'!H16+'КВ1.Д7'!F9+'КВ1.Д9'!F16+'КВ1.Д20'!F16+'КВ2.Д2'!H14+'КВ2.Д3'!H13+'КВ3.Д1'!G16+'КВ4.Д8'!F16+'КВ4.Д9'!G13+'КВ5.Д1'!G14+'КВ5.Д2'!G14+'Октяб. Первомайская'!F16+'ул.Ленинская 1'!H16+'ул.Ленинская 3'!H16+'ул.Ленинская 7'!H16+'ул.Советская 2'!H16+'ул.Советская 4'!H16+'ул.Советская 6'!H16+'ул.Советская 10'!H16</f>
        <v>1522.0325897999999</v>
      </c>
    </row>
    <row r="17" spans="1:8" ht="12.75">
      <c r="A17" s="6"/>
      <c r="B17" s="12" t="s">
        <v>41</v>
      </c>
      <c r="C17" s="19"/>
      <c r="D17" s="19"/>
      <c r="E17" s="19"/>
      <c r="F17" s="34">
        <v>-67.81190000000001</v>
      </c>
      <c r="G17" s="34">
        <f>'КВ1.Д3'!E12+'КВ1.Д4'!G15+'КВ1.Д5'!G17+'КВ1.Д7'!E10+'КВ1.Д9'!E17+'КВ1.Д20'!E17+'КВ2.Д2'!G15+'КВ2.Д3'!G14+'КВ3.Д1'!F17+'КВ4.Д8'!E17+'КВ4.Д9'!F14+'КВ5.Д1'!F15+'КВ5.Д2'!F15+'Октяб. Первомайская'!E17+'ул.Ленинская 1'!G17+'ул.Ленинская 3'!G17+'ул.Ленинская 7'!G17+'ул.Советская 2'!G17+'ул.Советская 4'!G17+'ул.Советская 6'!G17+'ул.Советская 10'!G17</f>
        <v>0</v>
      </c>
      <c r="H17" s="34">
        <f>'КВ1.Д3'!F12+'КВ1.Д4'!H15+'КВ1.Д5'!H17+'КВ1.Д7'!F10+'КВ1.Д9'!F17+'КВ1.Д20'!F17+'КВ2.Д2'!H15+'КВ2.Д3'!H14+'КВ3.Д1'!G17+'КВ4.Д8'!F17+'КВ4.Д9'!G14+'КВ5.Д1'!G15+'КВ5.Д2'!G15+'Октяб. Первомайская'!F17+'ул.Ленинская 1'!H17+'ул.Ленинская 3'!H17+'ул.Ленинская 7'!H17+'ул.Советская 2'!H17+'ул.Советская 4'!H17+'ул.Советская 6'!H17+'ул.Советская 10'!H17</f>
        <v>-67.81190000000001</v>
      </c>
    </row>
    <row r="18" spans="1:18" ht="31.5" customHeight="1">
      <c r="A18" s="6">
        <v>4</v>
      </c>
      <c r="B18" s="20" t="s">
        <v>2</v>
      </c>
      <c r="C18" s="45">
        <v>2425.2836970599997</v>
      </c>
      <c r="D18" s="45">
        <v>3982.29898796</v>
      </c>
      <c r="E18" s="30">
        <v>5206.828804761404</v>
      </c>
      <c r="F18" s="47">
        <v>6523.9038470853975</v>
      </c>
      <c r="G18" s="34">
        <f>'КВ1.Д3'!E13+'КВ1.Д4'!G16+'КВ1.Д5'!G18+'КВ1.Д7'!E11+'КВ1.Д9'!E18+'КВ1.Д20'!E18+'КВ2.Д2'!G16+'КВ2.Д3'!G15+'КВ3.Д1'!F18+'КВ4.Д8'!E18+'КВ4.Д9'!F15+'КВ5.Д1'!F16+'КВ5.Д2'!F16+'Октяб. Первомайская'!E18+'ул.Ленинская 1'!G18+'ул.Ленинская 3'!G18+'ул.Ленинская 7'!G18+'ул.Советская 2'!G18+'ул.Советская 4'!G18+'ул.Советская 6'!G18+'ул.Советская 10'!G18</f>
        <v>5269.914463003323</v>
      </c>
      <c r="H18" s="34">
        <f>'КВ1.Д3'!F13+'КВ1.Д4'!H16+'КВ1.Д5'!H18+'КВ1.Д7'!F11+'КВ1.Д9'!F18+'КВ1.Д20'!F18+'КВ2.Д2'!H16+'КВ2.Д3'!H15+'КВ3.Д1'!G18+'КВ4.Д8'!F18+'КВ4.Д9'!G15+'КВ5.Д1'!G16+'КВ5.Д2'!G16+'Октяб. Первомайская'!F18+'ул.Ленинская 1'!H18+'ул.Ленинская 3'!H18+'ул.Ленинская 7'!H18+'ул.Советская 2'!H18+'ул.Советская 4'!H18+'ул.Советская 6'!H18+'ул.Советская 10'!H18</f>
        <v>27127.744996755584</v>
      </c>
      <c r="I18" s="150"/>
      <c r="J18" s="151"/>
      <c r="K18" s="151"/>
      <c r="L18" s="151"/>
      <c r="M18" s="151"/>
      <c r="N18" s="151"/>
      <c r="O18" s="151"/>
      <c r="P18" s="151"/>
      <c r="Q18" s="151"/>
      <c r="R18" s="151"/>
    </row>
    <row r="19" spans="1:8" ht="12.75">
      <c r="A19" s="29" t="s">
        <v>14</v>
      </c>
      <c r="B19" s="12" t="s">
        <v>4</v>
      </c>
      <c r="C19" s="35">
        <v>1044.1082199999998</v>
      </c>
      <c r="D19" s="46">
        <v>774.28533</v>
      </c>
      <c r="E19" s="37">
        <v>722.4577291996002</v>
      </c>
      <c r="F19" s="34">
        <v>847.448074</v>
      </c>
      <c r="G19" s="34">
        <f>'КВ1.Д3'!E14+'КВ1.Д4'!G17+'КВ1.Д5'!G19+'КВ1.Д7'!E12+'КВ1.Д9'!E19+'КВ1.Д20'!E19+'КВ2.Д2'!G17+'КВ2.Д3'!G16+'КВ3.Д1'!F19+'КВ4.Д8'!E19+'КВ4.Д9'!F16+'КВ5.Д1'!F17+'КВ5.Д2'!F17+'Октяб. Первомайская'!E19+'ул.Ленинская 1'!G19+'ул.Ленинская 3'!G19+'ул.Ленинская 7'!G19+'ул.Советская 2'!G19+'ул.Советская 4'!G19+'ул.Советская 6'!G19+'ул.Советская 10'!G19</f>
        <v>317.9967</v>
      </c>
      <c r="H19" s="34">
        <f>'КВ1.Д3'!F14+'КВ1.Д4'!H17+'КВ1.Д5'!H19+'КВ1.Д7'!F12+'КВ1.Д9'!F19+'КВ1.Д20'!F19+'КВ2.Д2'!H17+'КВ2.Д3'!H16+'КВ3.Д1'!G19+'КВ4.Д8'!F19+'КВ4.Д9'!G16+'КВ5.Д1'!G17+'КВ5.Д2'!G17+'Октяб. Первомайская'!F19+'ул.Ленинская 1'!H19+'ул.Ленинская 3'!H19+'ул.Ленинская 7'!H19+'ул.Советская 2'!H19+'ул.Советская 4'!H19+'ул.Советская 6'!H19+'ул.Советская 10'!H19</f>
        <v>3815.5420031995995</v>
      </c>
    </row>
    <row r="20" spans="1:8" ht="12.75">
      <c r="A20" s="29" t="s">
        <v>15</v>
      </c>
      <c r="B20" s="12" t="s">
        <v>19</v>
      </c>
      <c r="C20" s="35">
        <v>845.5955257099998</v>
      </c>
      <c r="D20" s="46">
        <v>1923.9022549900003</v>
      </c>
      <c r="E20" s="37">
        <v>3090.746591505501</v>
      </c>
      <c r="F20" s="34">
        <v>3973.853628393668</v>
      </c>
      <c r="G20" s="34">
        <f>'КВ1.Д3'!E15+'КВ1.Д4'!G18+'КВ1.Д5'!G20+'КВ1.Д7'!E13+'КВ1.Д9'!E20+'КВ1.Д20'!E20+'КВ2.Д2'!G18+'КВ2.Д3'!G17+'КВ3.Д1'!F20+'КВ4.Д8'!E20+'КВ4.Д9'!F17+'КВ5.Д1'!F18+'КВ5.Д2'!F18+'Октяб. Первомайская'!E20+'ул.Ленинская 1'!G20+'ул.Ленинская 3'!G20+'ул.Ленинская 7'!G20+'ул.Советская 2'!G20+'ул.Советская 4'!G20+'ул.Советская 6'!G20+'ул.Советская 10'!G20</f>
        <v>3136.1491750742057</v>
      </c>
      <c r="H20" s="34">
        <f>'КВ1.Д3'!F15+'КВ1.Д4'!H18+'КВ1.Д5'!H20+'КВ1.Д7'!F13+'КВ1.Д9'!F20+'КВ1.Д20'!F20+'КВ2.Д2'!H18+'КВ2.Д3'!H17+'КВ3.Д1'!G20+'КВ4.Д8'!F20+'КВ4.Д9'!G17+'КВ5.Д1'!G18+'КВ5.Д2'!G18+'Октяб. Первомайская'!F20+'ул.Ленинская 1'!H20+'ул.Ленинская 3'!H20+'ул.Ленинская 7'!H20+'ул.Советская 2'!H20+'ул.Советская 4'!H20+'ул.Советская 6'!H20+'ул.Советская 10'!H20</f>
        <v>13458.812054643995</v>
      </c>
    </row>
    <row r="21" spans="1:8" ht="12.75">
      <c r="A21" s="29" t="s">
        <v>16</v>
      </c>
      <c r="B21" s="12" t="s">
        <v>5</v>
      </c>
      <c r="C21" s="35">
        <v>318.23305000000005</v>
      </c>
      <c r="D21" s="46">
        <v>678.4151699999999</v>
      </c>
      <c r="E21" s="37">
        <v>907.352083711</v>
      </c>
      <c r="F21" s="34">
        <v>1122.0294278665563</v>
      </c>
      <c r="G21" s="34">
        <f>'КВ1.Д3'!E16+'КВ1.Д4'!G19+'КВ1.Д5'!G21+'КВ1.Д7'!E14+'КВ1.Д9'!E21+'КВ1.Д20'!E21+'КВ2.Д2'!G19+'КВ2.Д3'!G18+'КВ3.Д1'!F21+'КВ4.Д8'!E21+'КВ4.Д9'!F18+'КВ5.Д1'!F19+'КВ5.Д2'!F19+'Октяб. Первомайская'!E21+'ул.Ленинская 1'!G21+'ул.Ленинская 3'!G21+'ул.Ленинская 7'!G21+'ул.Советская 2'!G21+'ул.Советская 4'!G21+'ул.Советская 6'!G21+'ул.Советская 10'!G21</f>
        <v>672.0511628</v>
      </c>
      <c r="H21" s="34">
        <f>'КВ1.Д3'!F16+'КВ1.Д4'!H19+'КВ1.Д5'!H21+'КВ1.Д7'!F14+'КВ1.Д9'!F21+'КВ1.Д20'!F21+'КВ2.Д2'!H19+'КВ2.Д3'!H18+'КВ3.Д1'!G21+'КВ4.Д8'!F21+'КВ4.Д9'!G18+'КВ5.Д1'!G19+'КВ5.Д2'!G19+'Октяб. Первомайская'!F21+'ул.Ленинская 1'!H21+'ул.Ленинская 3'!H21+'ул.Ленинская 7'!H21+'ул.Советская 2'!H21+'ул.Советская 4'!H21+'ул.Советская 6'!H21+'ул.Советская 10'!H21</f>
        <v>3791.9092743775564</v>
      </c>
    </row>
    <row r="22" spans="1:8" ht="12.75">
      <c r="A22" s="29" t="s">
        <v>17</v>
      </c>
      <c r="B22" s="12" t="s">
        <v>6</v>
      </c>
      <c r="C22" s="35">
        <v>71.09524</v>
      </c>
      <c r="D22" s="46">
        <v>275.98653202</v>
      </c>
      <c r="E22" s="37">
        <v>89.48776631285457</v>
      </c>
      <c r="F22" s="34">
        <v>76.19374011858196</v>
      </c>
      <c r="G22" s="34">
        <f>'КВ1.Д3'!E17+'КВ1.Д4'!G20+'КВ1.Д5'!G22+'КВ1.Д7'!E15+'КВ1.Д9'!E22+'КВ1.Д20'!E22+'КВ2.Д2'!G20+'КВ2.Д3'!G19+'КВ3.Д1'!F22+'КВ4.Д8'!E22+'КВ4.Д9'!F19+'КВ5.Д1'!F20+'КВ5.Д2'!F20+'Октяб. Первомайская'!E22+'ул.Ленинская 1'!G22+'ул.Ленинская 3'!G22+'ул.Ленинская 7'!G22+'ул.Советская 2'!G22+'ул.Советская 4'!G22+'ул.Советская 6'!G22+'ул.Советская 10'!G22</f>
        <v>172.0761557005301</v>
      </c>
      <c r="H22" s="34">
        <f>'КВ1.Д3'!F17+'КВ1.Д4'!H20+'КВ1.Д5'!H22+'КВ1.Д7'!F15+'КВ1.Д9'!F22+'КВ1.Д20'!F22+'КВ2.Д2'!H20+'КВ2.Д3'!H19+'КВ3.Д1'!G22+'КВ4.Д8'!F22+'КВ4.Д9'!G19+'КВ5.Д1'!G20+'КВ5.Д2'!G20+'Октяб. Первомайская'!F22+'ул.Ленинская 1'!H22+'ул.Ленинская 3'!H22+'ул.Ленинская 7'!H22+'ул.Советская 2'!H22+'ул.Советская 4'!H22+'ул.Советская 6'!H22+'ул.Советская 10'!H22</f>
        <v>687.6200941519666</v>
      </c>
    </row>
    <row r="23" spans="1:8" ht="12.75">
      <c r="A23" s="29" t="s">
        <v>18</v>
      </c>
      <c r="B23" s="12" t="s">
        <v>7</v>
      </c>
      <c r="C23" s="35">
        <v>146.25166135</v>
      </c>
      <c r="D23" s="46">
        <v>314.80060095</v>
      </c>
      <c r="E23" s="37">
        <v>389.732714632449</v>
      </c>
      <c r="F23" s="34">
        <v>495.3241437065906</v>
      </c>
      <c r="G23" s="34">
        <f>'КВ1.Д3'!E18+'КВ1.Д4'!G21+'КВ1.Д5'!G23+'КВ1.Д7'!E16+'КВ1.Д9'!E23+'КВ1.Д20'!E23+'КВ2.Д2'!G21+'КВ2.Д3'!G20+'КВ3.Д1'!F23+'КВ4.Д8'!E23+'КВ4.Д9'!F20+'КВ5.Д1'!F21+'КВ5.Д2'!F21+'Октяб. Первомайская'!E23+'ул.Ленинская 1'!G23+'ул.Ленинская 3'!G23+'ул.Ленинская 7'!G23+'ул.Советская 2'!G23+'ул.Советская 4'!G23+'ул.Советская 6'!G23+'ул.Советская 10'!G23</f>
        <v>353.3091897251969</v>
      </c>
      <c r="H23" s="34">
        <f>'КВ1.Д3'!F18+'КВ1.Д4'!H21+'КВ1.Д5'!H23+'КВ1.Д7'!F16+'КВ1.Д9'!F23+'КВ1.Д20'!F23+'КВ2.Д2'!H21+'КВ2.Д3'!H20+'КВ3.Д1'!G23+'КВ4.Д8'!F23+'КВ4.Д9'!G20+'КВ5.Д1'!G21+'КВ5.Д2'!G21+'Октяб. Первомайская'!F23+'ул.Ленинская 1'!H23+'ул.Ленинская 3'!H23+'ул.Ленинская 7'!H23+'ул.Советская 2'!H23+'ул.Советская 4'!H23+'ул.Советская 6'!H23+'ул.Советская 10'!H23</f>
        <v>1770.4896573722967</v>
      </c>
    </row>
    <row r="24" spans="1:8" ht="12.75">
      <c r="A24" s="29" t="s">
        <v>20</v>
      </c>
      <c r="B24" s="41" t="s">
        <v>24</v>
      </c>
      <c r="C24" s="35">
        <v>0</v>
      </c>
      <c r="D24" s="46">
        <v>14.9091</v>
      </c>
      <c r="E24" s="37">
        <v>7.051919399999999</v>
      </c>
      <c r="F24" s="34">
        <v>9.054833000000002</v>
      </c>
      <c r="G24" s="34">
        <f>'КВ1.Д3'!E19+'КВ1.Д4'!G22+'КВ1.Д5'!G24+'КВ1.Д7'!E17+'КВ1.Д9'!E24+'КВ1.Д20'!E24+'КВ2.Д2'!G22+'КВ2.Д3'!G21+'КВ3.Д1'!F24+'КВ4.Д8'!E24+'КВ4.Д9'!F21+'КВ5.Д1'!F22+'КВ5.Д2'!F22+'Октяб. Первомайская'!E24+'ул.Ленинская 1'!G24+'ул.Ленинская 3'!G24+'ул.Ленинская 7'!G24+'ул.Советская 2'!G24+'ул.Советская 4'!G24+'ул.Советская 6'!G24+'ул.Советская 10'!G24</f>
        <v>8.601522500000012</v>
      </c>
      <c r="H24" s="34">
        <f>'КВ1.Д3'!F19+'КВ1.Д4'!H22+'КВ1.Д5'!H24+'КВ1.Д7'!F17+'КВ1.Д9'!F24+'КВ1.Д20'!F24+'КВ2.Д2'!H22+'КВ2.Д3'!H21+'КВ3.Д1'!G24+'КВ4.Д8'!F24+'КВ4.Д9'!G21+'КВ5.Д1'!G22+'КВ5.Д2'!G22+'Октяб. Первомайская'!F24+'ул.Ленинская 1'!H24+'ул.Ленинская 3'!H24+'ул.Ленинская 7'!H24+'ул.Советская 2'!H24+'ул.Советская 4'!H24+'ул.Советская 6'!H24+'ул.Советская 10'!H24</f>
        <v>39.65237490000001</v>
      </c>
    </row>
    <row r="25" spans="1:10" ht="13.5" thickBot="1">
      <c r="A25" s="29" t="s">
        <v>86</v>
      </c>
      <c r="B25" s="24" t="s">
        <v>87</v>
      </c>
      <c r="C25" s="30">
        <f>C14*15%</f>
        <v>373.68446183898305</v>
      </c>
      <c r="D25" s="30">
        <f>D14*15%</f>
        <v>677.8963360169491</v>
      </c>
      <c r="E25" s="30">
        <f>E14*15%</f>
        <v>870.3600902542372</v>
      </c>
      <c r="F25" s="30">
        <f>F14*15%</f>
        <v>1032.0480927966103</v>
      </c>
      <c r="G25" s="34">
        <f>'КВ1.Д3'!E20+'КВ1.Д4'!G23+'КВ1.Д5'!G25+'КВ1.Д7'!E18+'КВ1.Д9'!E25+'КВ1.Д20'!E25+'КВ2.Д2'!G23+'КВ2.Д3'!G22+'КВ3.Д1'!F25+'КВ4.Д8'!E25+'КВ4.Д9'!F22+'КВ5.Д1'!F23+'КВ5.Д2'!F23+'Октяб. Первомайская'!E25+'ул.Ленинская 1'!G25+'ул.Ленинская 3'!G25+'ул.Ленинская 7'!G25+'ул.Советская 2'!G25+'ул.Советская 4'!G25+'ул.Советская 6'!G25+'ул.Советская 10'!G25</f>
        <v>609.7305572033898</v>
      </c>
      <c r="H25" s="34">
        <f>'КВ1.Д3'!F20+'КВ1.Д4'!H23+'КВ1.Д5'!H25+'КВ1.Д7'!F18+'КВ1.Д9'!F25+'КВ1.Д20'!F25+'КВ2.Д2'!H23+'КВ2.Д3'!H22+'КВ3.Д1'!G25+'КВ4.Д8'!F25+'КВ4.Д9'!G22+'КВ5.Д1'!G23+'КВ5.Д2'!G23+'Октяб. Первомайская'!F25+'ул.Ленинская 1'!H25+'ул.Ленинская 3'!H25+'ул.Ленинская 7'!H25+'ул.Советская 2'!H25+'ул.Советская 4'!H25+'ул.Советская 6'!H25+'ул.Советская 10'!H25</f>
        <v>3563.719538110169</v>
      </c>
      <c r="J25" s="5"/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114"/>
    </row>
    <row r="29" spans="1:8" ht="68.25" customHeight="1">
      <c r="A29" s="9"/>
      <c r="B29" s="31" t="s">
        <v>22</v>
      </c>
      <c r="C29" s="31"/>
      <c r="D29" s="31"/>
      <c r="E29" s="15"/>
      <c r="F29" s="9"/>
      <c r="G29" s="9"/>
      <c r="H29" s="15" t="s">
        <v>8</v>
      </c>
    </row>
    <row r="30" spans="1:8" ht="48" customHeight="1">
      <c r="A30" s="9"/>
      <c r="B30" s="15" t="s">
        <v>9</v>
      </c>
      <c r="C30" s="15"/>
      <c r="D30" s="15"/>
      <c r="E30" s="15"/>
      <c r="F30" s="9"/>
      <c r="G30" s="9"/>
      <c r="H30" s="15" t="s">
        <v>10</v>
      </c>
    </row>
    <row r="31" spans="1:10" ht="12.75">
      <c r="A31" s="9"/>
      <c r="B31" s="15"/>
      <c r="C31" s="15"/>
      <c r="D31" s="15"/>
      <c r="E31" s="15"/>
      <c r="F31" s="9"/>
      <c r="G31" s="9"/>
      <c r="H31" s="9"/>
      <c r="J31" s="5"/>
    </row>
    <row r="32" spans="1:10" ht="12.75">
      <c r="A32" s="9"/>
      <c r="B32" s="9"/>
      <c r="C32" s="9"/>
      <c r="D32" s="9"/>
      <c r="E32" s="9"/>
      <c r="F32" s="9"/>
      <c r="G32" s="9"/>
      <c r="H32" s="9"/>
      <c r="I32" s="1"/>
      <c r="J32" s="1"/>
    </row>
    <row r="33" spans="1:10" s="2" customFormat="1" ht="12.75">
      <c r="A33" s="15"/>
      <c r="B33" s="15"/>
      <c r="C33" s="15"/>
      <c r="D33" s="15"/>
      <c r="E33" s="15"/>
      <c r="F33" s="15"/>
      <c r="G33" s="15"/>
      <c r="H33" s="15"/>
      <c r="I33" s="1"/>
      <c r="J33" s="7"/>
    </row>
    <row r="34" spans="9:10" s="9" customFormat="1" ht="12.75">
      <c r="I34" s="8"/>
      <c r="J34" s="7"/>
    </row>
    <row r="35" spans="9:10" s="9" customFormat="1" ht="12.75">
      <c r="I35" s="8"/>
      <c r="J35" s="7"/>
    </row>
    <row r="36" spans="1:8" ht="12.75">
      <c r="A36" s="9"/>
      <c r="B36" s="9"/>
      <c r="C36" s="9"/>
      <c r="D36" s="9"/>
      <c r="E36" s="9"/>
      <c r="F36" s="9"/>
      <c r="G36" s="9"/>
      <c r="H36" s="9"/>
    </row>
    <row r="37" s="9" customFormat="1" ht="12.75"/>
    <row r="38" s="9" customFormat="1" ht="12.75"/>
    <row r="39" spans="2:4" s="9" customFormat="1" ht="12.75">
      <c r="B39" s="11" t="s">
        <v>11</v>
      </c>
      <c r="C39" s="11"/>
      <c r="D39" s="11"/>
    </row>
    <row r="40" s="9" customFormat="1" ht="12.75">
      <c r="B40" s="9" t="s">
        <v>21</v>
      </c>
    </row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</sheetData>
  <sheetProtection/>
  <mergeCells count="4">
    <mergeCell ref="A6:F6"/>
    <mergeCell ref="B7:F7"/>
    <mergeCell ref="A8:F8"/>
    <mergeCell ref="I18:R1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55"/>
  <sheetViews>
    <sheetView view="pageBreakPreview" zoomScaleSheetLayoutView="100" zoomScalePageLayoutView="0" workbookViewId="0" topLeftCell="B7">
      <selection activeCell="G16" sqref="G16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11.25390625" style="0" customWidth="1"/>
    <col min="4" max="4" width="11.375" style="0" customWidth="1"/>
    <col min="5" max="5" width="11.75390625" style="0" customWidth="1"/>
    <col min="6" max="6" width="11.125" style="0" customWidth="1"/>
    <col min="7" max="7" width="10.25390625" style="0" customWidth="1"/>
    <col min="9" max="9" width="9.625" style="0" bestFit="1" customWidth="1"/>
  </cols>
  <sheetData>
    <row r="6" spans="1:6" ht="26.25">
      <c r="A6" s="117" t="s">
        <v>3</v>
      </c>
      <c r="B6" s="117"/>
      <c r="C6" s="117"/>
      <c r="D6" s="117"/>
      <c r="E6" s="117"/>
      <c r="F6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45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spans="2:7" s="2" customFormat="1" ht="12.75">
      <c r="B10" s="21"/>
      <c r="C10" s="21"/>
      <c r="D10" s="21"/>
      <c r="E10" s="21"/>
      <c r="F10" s="21"/>
      <c r="G10" s="21"/>
    </row>
    <row r="11" spans="2:3" s="2" customFormat="1" ht="12.75">
      <c r="B11" s="1"/>
      <c r="C11" s="1"/>
    </row>
    <row r="12" ht="13.5" thickBot="1">
      <c r="G12" t="s">
        <v>91</v>
      </c>
    </row>
    <row r="13" spans="1:8" s="4" customFormat="1" ht="48.75" customHeight="1">
      <c r="A13" s="3" t="s">
        <v>0</v>
      </c>
      <c r="B13" s="17" t="s">
        <v>1</v>
      </c>
      <c r="C13" s="18" t="s">
        <v>27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88</v>
      </c>
    </row>
    <row r="14" spans="1:8" ht="12.75">
      <c r="A14" s="6">
        <v>1</v>
      </c>
      <c r="B14" s="13" t="s">
        <v>12</v>
      </c>
      <c r="C14" s="35">
        <f>253.6717434/1.18</f>
        <v>214.97605372881355</v>
      </c>
      <c r="D14" s="36">
        <f>381.94671/1.18</f>
        <v>323.6836525423729</v>
      </c>
      <c r="E14" s="37">
        <f>382.87047/1.18</f>
        <v>324.46650000000005</v>
      </c>
      <c r="F14" s="34">
        <f>383.11379/1.18</f>
        <v>324.67270338983053</v>
      </c>
      <c r="G14" s="34"/>
      <c r="H14" s="34">
        <f>C14+D14+E14+F14+G14</f>
        <v>1187.798909661017</v>
      </c>
    </row>
    <row r="15" spans="1:8" ht="12.75">
      <c r="A15" s="6">
        <v>2</v>
      </c>
      <c r="B15" s="13" t="s">
        <v>13</v>
      </c>
      <c r="C15" s="38">
        <f>180.6228/1.18</f>
        <v>153.07016949152543</v>
      </c>
      <c r="D15" s="39">
        <f>342.23739/1.18</f>
        <v>290.03168644067796</v>
      </c>
      <c r="E15" s="39">
        <f>359.50881/1.18</f>
        <v>304.66848305084744</v>
      </c>
      <c r="F15" s="30">
        <f>366.87935/1.18</f>
        <v>310.9147033898305</v>
      </c>
      <c r="G15" s="30">
        <f>'[8]07.12'!$X$21/1.18/1000</f>
        <v>82.22736440677967</v>
      </c>
      <c r="H15" s="34">
        <f>C15+D15+E15+F15+G15</f>
        <v>1140.912406779661</v>
      </c>
    </row>
    <row r="16" spans="1:8" ht="25.5">
      <c r="A16" s="6">
        <v>3</v>
      </c>
      <c r="B16" s="20" t="s">
        <v>42</v>
      </c>
      <c r="C16" s="33">
        <f>(C14-C15)*1.18</f>
        <v>73.04894339999998</v>
      </c>
      <c r="D16" s="30">
        <f>(D14-D15)*1.18+C16</f>
        <v>112.7582634</v>
      </c>
      <c r="E16" s="30">
        <f>(E14-E15)*1.18+D16</f>
        <v>136.1199234000001</v>
      </c>
      <c r="F16" s="30">
        <f>(F14-F15)*1.18+E16</f>
        <v>152.35436340000012</v>
      </c>
      <c r="G16" s="30">
        <f>(G14-G15)*1.18+F16+G17</f>
        <v>55.32607340000011</v>
      </c>
      <c r="H16" s="30">
        <f>(H14-H15)*1.18+H17</f>
        <v>55.32607339999997</v>
      </c>
    </row>
    <row r="17" spans="1:8" ht="12.75">
      <c r="A17" s="6"/>
      <c r="B17" s="12"/>
      <c r="C17" s="19"/>
      <c r="D17" s="19"/>
      <c r="E17" s="19"/>
      <c r="F17" s="23"/>
      <c r="G17" s="49"/>
      <c r="H17" s="30">
        <f>C17+D17+E17+F17+G17</f>
        <v>0</v>
      </c>
    </row>
    <row r="18" spans="1:17" ht="31.5" customHeight="1">
      <c r="A18" s="6">
        <v>4</v>
      </c>
      <c r="B18" s="20" t="s">
        <v>2</v>
      </c>
      <c r="C18" s="30">
        <f>SUM(C19:C25)</f>
        <v>303.4263571916381</v>
      </c>
      <c r="D18" s="30">
        <f>SUM(D19:D25)</f>
        <v>342.8505523949559</v>
      </c>
      <c r="E18" s="30">
        <f>SUM(E19:E25)</f>
        <v>317.641954811423</v>
      </c>
      <c r="F18" s="30">
        <f>SUM(F19:F25)</f>
        <v>414.97545162807114</v>
      </c>
      <c r="G18" s="30"/>
      <c r="H18" s="30">
        <f aca="true" t="shared" si="0" ref="H18:H24">C18+D18+E18+F18+G18</f>
        <v>1378.894316026088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1:8" ht="12.75">
      <c r="A19" s="29" t="s">
        <v>14</v>
      </c>
      <c r="B19" s="12" t="s">
        <v>4</v>
      </c>
      <c r="C19" s="30">
        <f>'[2]ул.Ленинская д7'!$AT$44</f>
        <v>89.70436</v>
      </c>
      <c r="D19" s="30">
        <f>'[3]ул.Ленинская д7'!$AT$44</f>
        <v>39.39761000000001</v>
      </c>
      <c r="E19" s="28">
        <f>'[4]ул.Ленинская д7'!$AT$45</f>
        <v>31.647257122200003</v>
      </c>
      <c r="F19" s="40">
        <f>'[6]ул.Ленинская д7'!$AT$45</f>
        <v>41.651686999999995</v>
      </c>
      <c r="G19" s="40"/>
      <c r="H19" s="30">
        <f t="shared" si="0"/>
        <v>202.4009141222</v>
      </c>
    </row>
    <row r="20" spans="1:8" ht="12.75">
      <c r="A20" s="29" t="s">
        <v>15</v>
      </c>
      <c r="B20" s="12" t="s">
        <v>19</v>
      </c>
      <c r="C20" s="30">
        <f>'[2]ул.Ленинская д7'!$AT$51+'[2]ул.Ленинская д7'!$AT$55</f>
        <v>86.39967054542001</v>
      </c>
      <c r="D20" s="30">
        <f>'[3]ул.Ленинская д7'!$AT$51+'[3]ул.Ленинская д7'!$AT$55</f>
        <v>164.6847106926</v>
      </c>
      <c r="E20" s="28">
        <f>'[4]ул.Ленинская д7'!$AT$54+'[4]ул.Ленинская д7'!$AT$58</f>
        <v>162.63766705957292</v>
      </c>
      <c r="F20" s="30">
        <f>'[6]ул.Ленинская д7'!$AT$54+'[6]ул.Ленинская д7'!$AT$58</f>
        <v>239.66445316465413</v>
      </c>
      <c r="G20" s="30"/>
      <c r="H20" s="30">
        <f t="shared" si="0"/>
        <v>653.386501462247</v>
      </c>
    </row>
    <row r="21" spans="1:8" ht="12.75">
      <c r="A21" s="29" t="s">
        <v>16</v>
      </c>
      <c r="B21" s="12" t="s">
        <v>5</v>
      </c>
      <c r="C21" s="30">
        <f>'[2]ул.Ленинская д7'!$AT$83</f>
        <v>32.365899999999996</v>
      </c>
      <c r="D21" s="30">
        <f>'[3]ул.Ленинская д7'!$AT$83</f>
        <v>56.338849999999994</v>
      </c>
      <c r="E21" s="30">
        <f>'[4]ул.Ленинская д7'!$AT$81</f>
        <v>51.533668269649326</v>
      </c>
      <c r="F21" s="30">
        <f>'[6]ул.Ленинская д7'!$AT$81</f>
        <v>55.21645126536503</v>
      </c>
      <c r="G21" s="30"/>
      <c r="H21" s="30">
        <f t="shared" si="0"/>
        <v>195.45486953501435</v>
      </c>
    </row>
    <row r="22" spans="1:8" ht="12.75">
      <c r="A22" s="29" t="s">
        <v>17</v>
      </c>
      <c r="B22" s="12" t="s">
        <v>6</v>
      </c>
      <c r="C22" s="30">
        <f>'[2]ул.Ленинская д7'!$AT$84</f>
        <v>47.979760000000006</v>
      </c>
      <c r="D22" s="30">
        <f>'[3]ул.Ленинская д7'!$AT$84</f>
        <v>6.57032191</v>
      </c>
      <c r="E22" s="30">
        <f>'[4]ул.Ленинская д7'!$AT$83</f>
        <v>2.90624269385481</v>
      </c>
      <c r="F22" s="30">
        <f>'[6]ул.Ленинская д7'!$AT$83</f>
        <v>2.3456739807773106</v>
      </c>
      <c r="G22" s="30"/>
      <c r="H22" s="30">
        <f t="shared" si="0"/>
        <v>59.80199858463212</v>
      </c>
    </row>
    <row r="23" spans="1:8" ht="12.75">
      <c r="A23" s="29" t="s">
        <v>18</v>
      </c>
      <c r="B23" s="12" t="s">
        <v>7</v>
      </c>
      <c r="C23" s="30">
        <f>'[2]ул.Ленинская д7'!$AT$124</f>
        <v>14.730258586896</v>
      </c>
      <c r="D23" s="30">
        <f>'[3]ул.Ленинская д7'!$AT$124</f>
        <v>26.680511910999996</v>
      </c>
      <c r="E23" s="30">
        <f>'[4]ул.Ленинская д7'!$AT$123</f>
        <v>19.936240388368184</v>
      </c>
      <c r="F23" s="30">
        <f>'[6]ул.Ленинская д7'!$AT$123</f>
        <v>27.185489708800105</v>
      </c>
      <c r="G23" s="30"/>
      <c r="H23" s="30">
        <f t="shared" si="0"/>
        <v>88.53250059506428</v>
      </c>
    </row>
    <row r="24" spans="1:8" ht="12.75">
      <c r="A24" s="29" t="s">
        <v>20</v>
      </c>
      <c r="B24" s="50" t="s">
        <v>24</v>
      </c>
      <c r="C24" s="30"/>
      <c r="D24" s="30">
        <f>'[3]ул.Ленинская д7'!$AT$59+'[3]ул.Ленинская д7'!$AT$79</f>
        <v>0.626</v>
      </c>
      <c r="E24" s="30">
        <f>'[4]ул.Ленинская д7'!$AT$78+'[4]ул.Ленинская д7'!$AT$75+'[4]ул.Ленинская д7'!$AT$68+'[4]ул.Ленинская д7'!$AT$63</f>
        <v>0.3109042777777778</v>
      </c>
      <c r="F24" s="30">
        <f>'[6]ул.Ленинская д7'!$AT$79+'[6]ул.Ленинская д7'!$AT$78+'[6]ул.Ленинская д7'!$AT$68</f>
        <v>0.210791</v>
      </c>
      <c r="G24" s="30"/>
      <c r="H24" s="30">
        <f t="shared" si="0"/>
        <v>1.1476952777777778</v>
      </c>
    </row>
    <row r="25" spans="1:8" ht="13.5" thickBot="1">
      <c r="A25" s="29" t="s">
        <v>86</v>
      </c>
      <c r="B25" s="24" t="s">
        <v>87</v>
      </c>
      <c r="C25" s="30">
        <f>C14*15%</f>
        <v>32.24640805932203</v>
      </c>
      <c r="D25" s="30">
        <f>D14*15%</f>
        <v>48.552547881355935</v>
      </c>
      <c r="E25" s="30">
        <f>E14*15%</f>
        <v>48.66997500000001</v>
      </c>
      <c r="F25" s="70">
        <f>F14*15%</f>
        <v>48.70090550847458</v>
      </c>
      <c r="G25" s="74"/>
      <c r="H25" s="70">
        <f>H14*15%</f>
        <v>178.16983644915254</v>
      </c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7" ht="12.75">
      <c r="A27" s="9"/>
      <c r="B27" s="9"/>
      <c r="C27" s="9"/>
      <c r="D27" s="9"/>
      <c r="E27" s="9"/>
      <c r="F27" s="9"/>
      <c r="G27" s="14"/>
    </row>
    <row r="28" spans="1:7" ht="12.75">
      <c r="A28" s="9"/>
      <c r="B28" s="9"/>
      <c r="C28" s="9"/>
      <c r="D28" s="9"/>
      <c r="E28" s="9"/>
      <c r="F28" s="9"/>
      <c r="G28" s="9"/>
    </row>
    <row r="29" spans="1:7" ht="68.25" customHeight="1">
      <c r="A29" s="9"/>
      <c r="B29" s="31" t="s">
        <v>22</v>
      </c>
      <c r="C29" s="31"/>
      <c r="D29" s="31"/>
      <c r="E29" s="15" t="s">
        <v>8</v>
      </c>
      <c r="F29" s="9"/>
      <c r="G29" s="10"/>
    </row>
    <row r="30" spans="1:7" ht="48" customHeight="1">
      <c r="A30" s="9"/>
      <c r="B30" s="15" t="s">
        <v>9</v>
      </c>
      <c r="C30" s="15"/>
      <c r="D30" s="15"/>
      <c r="E30" s="15" t="s">
        <v>10</v>
      </c>
      <c r="F30" s="9"/>
      <c r="G30" s="10"/>
    </row>
    <row r="31" spans="1:9" ht="12.75">
      <c r="A31" s="9"/>
      <c r="B31" s="15"/>
      <c r="C31" s="15"/>
      <c r="D31" s="15"/>
      <c r="E31" s="15"/>
      <c r="F31" s="9"/>
      <c r="G31" s="10"/>
      <c r="H31" s="5"/>
      <c r="I31" s="5"/>
    </row>
    <row r="32" spans="1:9" ht="12.75">
      <c r="A32" s="9"/>
      <c r="B32" s="9"/>
      <c r="C32" s="9"/>
      <c r="D32" s="9"/>
      <c r="E32" s="9"/>
      <c r="F32" s="9"/>
      <c r="G32" s="10"/>
      <c r="H32" s="1"/>
      <c r="I32" s="1"/>
    </row>
    <row r="33" spans="1:9" s="2" customFormat="1" ht="12.75">
      <c r="A33" s="15"/>
      <c r="B33" s="15"/>
      <c r="C33" s="15"/>
      <c r="D33" s="15"/>
      <c r="E33" s="15"/>
      <c r="F33" s="15"/>
      <c r="G33" s="16"/>
      <c r="H33" s="7"/>
      <c r="I33" s="7"/>
    </row>
    <row r="34" spans="7:9" s="9" customFormat="1" ht="12.75">
      <c r="G34" s="10"/>
      <c r="H34"/>
      <c r="I34" s="7"/>
    </row>
    <row r="35" spans="7:9" s="9" customFormat="1" ht="12.75">
      <c r="G35" s="10"/>
      <c r="H35"/>
      <c r="I35" s="7"/>
    </row>
    <row r="36" spans="1:7" ht="12.75">
      <c r="A36" s="9"/>
      <c r="B36" s="9"/>
      <c r="C36" s="9"/>
      <c r="D36" s="9"/>
      <c r="E36" s="9"/>
      <c r="F36" s="9"/>
      <c r="G36" s="10"/>
    </row>
    <row r="37" s="9" customFormat="1" ht="12.75">
      <c r="H37"/>
    </row>
    <row r="38" s="9" customFormat="1" ht="12.75">
      <c r="H38" s="1"/>
    </row>
    <row r="39" spans="2:8" s="9" customFormat="1" ht="12.75">
      <c r="B39" s="11" t="s">
        <v>11</v>
      </c>
      <c r="C39" s="11"/>
      <c r="D39" s="11"/>
      <c r="H39" s="1"/>
    </row>
    <row r="40" spans="2:8" s="9" customFormat="1" ht="12.75">
      <c r="B40" s="9" t="s">
        <v>21</v>
      </c>
      <c r="H40" s="8"/>
    </row>
    <row r="41" s="9" customFormat="1" ht="12.75">
      <c r="H41" s="8"/>
    </row>
    <row r="42" s="9" customFormat="1" ht="12.75">
      <c r="H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H50" s="9"/>
    </row>
    <row r="51" ht="12.75">
      <c r="H51" s="9"/>
    </row>
    <row r="52" ht="12.75">
      <c r="H52" s="9"/>
    </row>
    <row r="53" ht="12.75">
      <c r="H53" s="9"/>
    </row>
    <row r="54" ht="12.75">
      <c r="H54" s="9"/>
    </row>
    <row r="55" ht="12.75">
      <c r="H55" s="9"/>
    </row>
  </sheetData>
  <sheetProtection/>
  <mergeCells count="3">
    <mergeCell ref="A6:F6"/>
    <mergeCell ref="B7:F7"/>
    <mergeCell ref="A8:F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Q55"/>
  <sheetViews>
    <sheetView view="pageBreakPreview" zoomScaleSheetLayoutView="100" zoomScalePageLayoutView="0" workbookViewId="0" topLeftCell="A1">
      <selection activeCell="G28" sqref="G28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11.25390625" style="0" customWidth="1"/>
    <col min="4" max="4" width="11.375" style="0" customWidth="1"/>
    <col min="5" max="5" width="9.625" style="0" customWidth="1"/>
    <col min="6" max="6" width="11.125" style="0" customWidth="1"/>
    <col min="7" max="7" width="10.25390625" style="0" customWidth="1"/>
    <col min="9" max="9" width="9.625" style="0" bestFit="1" customWidth="1"/>
  </cols>
  <sheetData>
    <row r="5" spans="1:6" ht="26.25">
      <c r="A5" s="117" t="s">
        <v>3</v>
      </c>
      <c r="B5" s="117"/>
      <c r="C5" s="117"/>
      <c r="D5" s="117"/>
      <c r="E5" s="117"/>
      <c r="F5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46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spans="2:7" s="2" customFormat="1" ht="12.75">
      <c r="B10" s="21"/>
      <c r="C10" s="21"/>
      <c r="D10" s="21"/>
      <c r="E10" s="21"/>
      <c r="F10" s="21"/>
      <c r="G10" s="21"/>
    </row>
    <row r="11" spans="2:3" s="2" customFormat="1" ht="12.75">
      <c r="B11" s="1"/>
      <c r="C11" s="1"/>
    </row>
    <row r="12" ht="13.5" thickBot="1">
      <c r="G12" t="s">
        <v>91</v>
      </c>
    </row>
    <row r="13" spans="1:8" s="4" customFormat="1" ht="48.75" customHeight="1">
      <c r="A13" s="3" t="s">
        <v>0</v>
      </c>
      <c r="B13" s="17" t="s">
        <v>1</v>
      </c>
      <c r="C13" s="18" t="s">
        <v>27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88</v>
      </c>
    </row>
    <row r="14" spans="1:8" ht="12.75">
      <c r="A14" s="6">
        <v>1</v>
      </c>
      <c r="B14" s="13" t="s">
        <v>12</v>
      </c>
      <c r="C14" s="35">
        <f>343.7560312/1.18</f>
        <v>291.3186705084746</v>
      </c>
      <c r="D14" s="36">
        <f>531.0138/1.18</f>
        <v>450.0116949152542</v>
      </c>
      <c r="E14" s="36">
        <f>540.34322/1.18</f>
        <v>457.91798305084745</v>
      </c>
      <c r="F14" s="34">
        <f>551.90116/1.18</f>
        <v>467.71284745762716</v>
      </c>
      <c r="G14" s="34"/>
      <c r="H14" s="34">
        <f>C14+D14+E14+F14+G14</f>
        <v>1666.9611959322033</v>
      </c>
    </row>
    <row r="15" spans="1:8" ht="12.75">
      <c r="A15" s="6">
        <v>2</v>
      </c>
      <c r="B15" s="13" t="s">
        <v>13</v>
      </c>
      <c r="C15" s="38">
        <f>200.25597/1.18</f>
        <v>169.70844915254239</v>
      </c>
      <c r="D15" s="44">
        <f>397.32218/1.18</f>
        <v>336.7137118644068</v>
      </c>
      <c r="E15" s="44">
        <f>523.88167/1.18</f>
        <v>443.9675169491525</v>
      </c>
      <c r="F15" s="30">
        <f>484.77653/1.18</f>
        <v>410.8275677966102</v>
      </c>
      <c r="G15" s="30">
        <f>'[8]07.12'!$X$22/1.18/1000</f>
        <v>89.50878813559322</v>
      </c>
      <c r="H15" s="34">
        <f>C15+D15+E15+F15+G15</f>
        <v>1450.7260338983053</v>
      </c>
    </row>
    <row r="16" spans="1:8" ht="25.5">
      <c r="A16" s="6">
        <v>3</v>
      </c>
      <c r="B16" s="20" t="s">
        <v>42</v>
      </c>
      <c r="C16" s="33">
        <f>(C14-C15)*1.18</f>
        <v>143.5000612</v>
      </c>
      <c r="D16" s="30">
        <f>(D14-D15)*1.18+C16</f>
        <v>277.19168119999995</v>
      </c>
      <c r="E16" s="30">
        <f>(E14-E15)*1.18+D16</f>
        <v>293.65323119999994</v>
      </c>
      <c r="F16" s="30">
        <f>(F14-F15)*1.18+E16</f>
        <v>360.77786119999996</v>
      </c>
      <c r="G16" s="30">
        <f>(G14-G15)*1.18+F16+G17</f>
        <v>255.15749119999998</v>
      </c>
      <c r="H16" s="30">
        <f>(H14-H15)*1.18+H17</f>
        <v>255.15749119999955</v>
      </c>
    </row>
    <row r="17" spans="1:8" ht="12.75">
      <c r="A17" s="6"/>
      <c r="B17" s="12"/>
      <c r="C17" s="19"/>
      <c r="D17" s="19"/>
      <c r="E17" s="19"/>
      <c r="F17" s="23"/>
      <c r="G17" s="49"/>
      <c r="H17" s="30">
        <f>C17+D17+E17+F17+G17</f>
        <v>0</v>
      </c>
    </row>
    <row r="18" spans="1:17" ht="31.5" customHeight="1">
      <c r="A18" s="6">
        <v>4</v>
      </c>
      <c r="B18" s="20" t="s">
        <v>2</v>
      </c>
      <c r="C18" s="30">
        <f>SUM(C19:C25)</f>
        <v>295.1549985596512</v>
      </c>
      <c r="D18" s="30">
        <f>SUM(D19:D25)</f>
        <v>498.0901998284881</v>
      </c>
      <c r="E18" s="30">
        <f>SUM(E19:E25)</f>
        <v>347.97772001059604</v>
      </c>
      <c r="F18" s="30">
        <f>SUM(F19:F25)</f>
        <v>460.22345849855714</v>
      </c>
      <c r="G18" s="30"/>
      <c r="H18" s="30">
        <f aca="true" t="shared" si="0" ref="H18:H24">C18+D18+E18+F18+G18</f>
        <v>1601.4463768972923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1:8" ht="12.75">
      <c r="A19" s="29" t="s">
        <v>14</v>
      </c>
      <c r="B19" s="12" t="s">
        <v>4</v>
      </c>
      <c r="C19" s="30">
        <f>'[2]ул.Советская д2'!$AT$44</f>
        <v>141.68501</v>
      </c>
      <c r="D19" s="30">
        <f>'[3]ул.Советская д2'!$AT$44</f>
        <v>127.14749000000002</v>
      </c>
      <c r="E19" s="28">
        <f>'[4]ул.Советская д2'!$AT$45</f>
        <v>24.3842671222</v>
      </c>
      <c r="F19" s="40">
        <f>'[6]ул.Советская д2'!$AT$45</f>
        <v>37.594587000000004</v>
      </c>
      <c r="G19" s="40"/>
      <c r="H19" s="30">
        <f t="shared" si="0"/>
        <v>330.81135412220004</v>
      </c>
    </row>
    <row r="20" spans="1:8" ht="12.75">
      <c r="A20" s="29" t="s">
        <v>15</v>
      </c>
      <c r="B20" s="12" t="s">
        <v>19</v>
      </c>
      <c r="C20" s="30">
        <f>'[2]ул.Советская д2'!$AT$51+'[2]ул.Советская д2'!$AT$55</f>
        <v>67.2971367581</v>
      </c>
      <c r="D20" s="30">
        <f>'[3]ул.Советская д2'!$AT$51+'[3]ул.Советская д2'!$AT$55</f>
        <v>175.7325257942</v>
      </c>
      <c r="E20" s="28">
        <f>'[4]ул.Советская д2'!$AT$54+'[4]ул.Советская д2'!$AT$58</f>
        <v>163.10917163073293</v>
      </c>
      <c r="F20" s="30">
        <f>'[6]ул.Советская д2'!$AT$54+'[6]ул.Советская д2'!$AT$58</f>
        <v>243.45678658750316</v>
      </c>
      <c r="G20" s="30"/>
      <c r="H20" s="30">
        <f t="shared" si="0"/>
        <v>649.5956207705361</v>
      </c>
    </row>
    <row r="21" spans="1:8" ht="12.75">
      <c r="A21" s="29" t="s">
        <v>16</v>
      </c>
      <c r="B21" s="12" t="s">
        <v>5</v>
      </c>
      <c r="C21" s="30">
        <f>'[2]ул.Советская д2'!$AT$83</f>
        <v>29.875899999999998</v>
      </c>
      <c r="D21" s="30">
        <f>'[3]ул.Советская д2'!$AT$83</f>
        <v>70.96495999999999</v>
      </c>
      <c r="E21" s="30">
        <f>'[4]ул.Советская д2'!$AT$81</f>
        <v>69.37410995836557</v>
      </c>
      <c r="F21" s="30">
        <f>'[6]ул.Советская д2'!$AT$81</f>
        <v>77.1164407</v>
      </c>
      <c r="G21" s="30"/>
      <c r="H21" s="30">
        <f t="shared" si="0"/>
        <v>247.33141065836554</v>
      </c>
    </row>
    <row r="22" spans="1:8" ht="12.75">
      <c r="A22" s="29" t="s">
        <v>17</v>
      </c>
      <c r="B22" s="12" t="s">
        <v>6</v>
      </c>
      <c r="C22" s="30">
        <f>'[2]ул.Советская д2'!$AT$84</f>
        <v>1.0926199999999997</v>
      </c>
      <c r="D22" s="30">
        <f>'[3]ул.Советская д2'!$AT$84</f>
        <v>28.142641320000003</v>
      </c>
      <c r="E22" s="30">
        <f>'[4]ул.Советская д2'!$AT$83</f>
        <v>2.876416961484593</v>
      </c>
      <c r="F22" s="30">
        <f>'[6]ул.Советская д2'!$AT$83</f>
        <v>1.5330279152922637</v>
      </c>
      <c r="G22" s="30"/>
      <c r="H22" s="30">
        <f t="shared" si="0"/>
        <v>33.64470619677686</v>
      </c>
    </row>
    <row r="23" spans="1:8" ht="12.75">
      <c r="A23" s="29" t="s">
        <v>18</v>
      </c>
      <c r="B23" s="12" t="s">
        <v>7</v>
      </c>
      <c r="C23" s="30">
        <f>'[2]ул.Советская д2'!$AT$124</f>
        <v>11.50653122528</v>
      </c>
      <c r="D23" s="30">
        <f>'[3]ул.Советская д2'!$AT$124</f>
        <v>28.090828477</v>
      </c>
      <c r="E23" s="30">
        <f>'[4]ул.Советская д2'!$AT$123</f>
        <v>19.23515260240803</v>
      </c>
      <c r="F23" s="30">
        <f>'[6]ул.Советская д2'!$AT$123</f>
        <v>30.154898177117605</v>
      </c>
      <c r="G23" s="30"/>
      <c r="H23" s="30">
        <f t="shared" si="0"/>
        <v>88.98741048180564</v>
      </c>
    </row>
    <row r="24" spans="1:8" ht="12.75">
      <c r="A24" s="29" t="s">
        <v>20</v>
      </c>
      <c r="B24" s="50" t="s">
        <v>24</v>
      </c>
      <c r="C24" s="30"/>
      <c r="D24" s="30">
        <f>'[3]ул.Советская д2'!$AT$79+'[3]ул.Советская д2'!$AT$59</f>
        <v>0.51</v>
      </c>
      <c r="E24" s="30">
        <f>'[4]ул.Советская д2'!$AT$68+'[4]ул.Советская д2'!$AT$75+'[4]ул.Советская д2'!$AT$78+'[4]ул.Советская д2'!$AT$63</f>
        <v>0.3109042777777778</v>
      </c>
      <c r="F24" s="30">
        <f>'[6]ул.Советская д2'!$AT$68+'[6]ул.Советская д2'!$AT$78+'[6]ул.Советская д2'!$AT$79</f>
        <v>0.210791</v>
      </c>
      <c r="G24" s="30"/>
      <c r="H24" s="30">
        <f t="shared" si="0"/>
        <v>1.0316952777777777</v>
      </c>
    </row>
    <row r="25" spans="1:8" ht="13.5" thickBot="1">
      <c r="A25" s="29" t="s">
        <v>86</v>
      </c>
      <c r="B25" s="24" t="s">
        <v>87</v>
      </c>
      <c r="C25" s="30">
        <f>C14*15%</f>
        <v>43.69780057627119</v>
      </c>
      <c r="D25" s="30">
        <f>D14*15%</f>
        <v>67.50175423728813</v>
      </c>
      <c r="E25" s="30">
        <f>E14*15%</f>
        <v>68.68769745762711</v>
      </c>
      <c r="F25" s="70">
        <f>F14*15%</f>
        <v>70.15692711864408</v>
      </c>
      <c r="G25" s="74"/>
      <c r="H25" s="70">
        <f>H14*15%</f>
        <v>250.04417938983048</v>
      </c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7" ht="12.75">
      <c r="A27" s="9"/>
      <c r="B27" s="9"/>
      <c r="C27" s="9"/>
      <c r="D27" s="9"/>
      <c r="E27" s="9"/>
      <c r="F27" s="9"/>
      <c r="G27" s="14"/>
    </row>
    <row r="28" spans="1:7" ht="12.75">
      <c r="A28" s="9"/>
      <c r="B28" s="9"/>
      <c r="C28" s="9"/>
      <c r="D28" s="9"/>
      <c r="E28" s="9"/>
      <c r="F28" s="9"/>
      <c r="G28" s="9"/>
    </row>
    <row r="29" spans="1:7" ht="68.25" customHeight="1">
      <c r="A29" s="9"/>
      <c r="B29" s="31" t="s">
        <v>22</v>
      </c>
      <c r="C29" s="31"/>
      <c r="D29" s="31"/>
      <c r="E29" s="15" t="s">
        <v>8</v>
      </c>
      <c r="F29" s="9"/>
      <c r="G29" s="10"/>
    </row>
    <row r="30" spans="1:7" ht="48" customHeight="1">
      <c r="A30" s="9"/>
      <c r="B30" s="15" t="s">
        <v>9</v>
      </c>
      <c r="C30" s="15"/>
      <c r="D30" s="15"/>
      <c r="E30" s="15" t="s">
        <v>10</v>
      </c>
      <c r="F30" s="9"/>
      <c r="G30" s="10"/>
    </row>
    <row r="31" spans="1:9" ht="12.75">
      <c r="A31" s="9"/>
      <c r="B31" s="15"/>
      <c r="C31" s="15"/>
      <c r="D31" s="15"/>
      <c r="E31" s="15"/>
      <c r="F31" s="9"/>
      <c r="G31" s="10"/>
      <c r="H31" s="5"/>
      <c r="I31" s="5"/>
    </row>
    <row r="32" spans="1:9" ht="12.75">
      <c r="A32" s="9"/>
      <c r="B32" s="9"/>
      <c r="C32" s="9"/>
      <c r="D32" s="9"/>
      <c r="E32" s="9"/>
      <c r="F32" s="9"/>
      <c r="G32" s="10"/>
      <c r="H32" s="1"/>
      <c r="I32" s="1"/>
    </row>
    <row r="33" spans="1:9" s="2" customFormat="1" ht="12.75">
      <c r="A33" s="15"/>
      <c r="B33" s="15"/>
      <c r="C33" s="15"/>
      <c r="D33" s="15"/>
      <c r="E33" s="15"/>
      <c r="F33" s="15"/>
      <c r="G33" s="16"/>
      <c r="H33" s="7"/>
      <c r="I33" s="7"/>
    </row>
    <row r="34" spans="7:9" s="9" customFormat="1" ht="12.75">
      <c r="G34" s="10"/>
      <c r="H34"/>
      <c r="I34" s="7"/>
    </row>
    <row r="35" spans="7:9" s="9" customFormat="1" ht="12.75">
      <c r="G35" s="10"/>
      <c r="H35"/>
      <c r="I35" s="7"/>
    </row>
    <row r="36" spans="1:7" ht="12.75">
      <c r="A36" s="9"/>
      <c r="B36" s="9"/>
      <c r="C36" s="9"/>
      <c r="D36" s="9"/>
      <c r="E36" s="9"/>
      <c r="F36" s="9"/>
      <c r="G36" s="10"/>
    </row>
    <row r="37" s="9" customFormat="1" ht="12.75">
      <c r="H37"/>
    </row>
    <row r="38" s="9" customFormat="1" ht="12.75">
      <c r="H38" s="1"/>
    </row>
    <row r="39" spans="2:8" s="9" customFormat="1" ht="12.75">
      <c r="B39" s="11" t="s">
        <v>11</v>
      </c>
      <c r="C39" s="11"/>
      <c r="D39" s="11"/>
      <c r="H39" s="1"/>
    </row>
    <row r="40" spans="2:8" s="9" customFormat="1" ht="12.75">
      <c r="B40" s="9" t="s">
        <v>21</v>
      </c>
      <c r="H40" s="8"/>
    </row>
    <row r="41" s="9" customFormat="1" ht="12.75">
      <c r="H41" s="8"/>
    </row>
    <row r="42" s="9" customFormat="1" ht="12.75">
      <c r="H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H50" s="9"/>
    </row>
    <row r="51" ht="12.75">
      <c r="H51" s="9"/>
    </row>
    <row r="52" ht="12.75">
      <c r="H52" s="9"/>
    </row>
    <row r="53" ht="12.75">
      <c r="H53" s="9"/>
    </row>
    <row r="54" ht="12.75">
      <c r="H54" s="9"/>
    </row>
    <row r="55" ht="12.75">
      <c r="H55" s="9"/>
    </row>
  </sheetData>
  <sheetProtection/>
  <mergeCells count="3">
    <mergeCell ref="A5:F5"/>
    <mergeCell ref="B7:F7"/>
    <mergeCell ref="A8:F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Q55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11.25390625" style="0" customWidth="1"/>
    <col min="4" max="4" width="11.375" style="0" customWidth="1"/>
    <col min="5" max="5" width="9.625" style="0" customWidth="1"/>
    <col min="6" max="6" width="11.125" style="0" customWidth="1"/>
    <col min="7" max="7" width="10.25390625" style="0" customWidth="1"/>
    <col min="9" max="9" width="9.625" style="0" bestFit="1" customWidth="1"/>
  </cols>
  <sheetData>
    <row r="5" spans="1:6" ht="26.25">
      <c r="A5" s="117" t="s">
        <v>3</v>
      </c>
      <c r="B5" s="117"/>
      <c r="C5" s="117"/>
      <c r="D5" s="117"/>
      <c r="E5" s="117"/>
      <c r="F5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47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spans="2:7" s="2" customFormat="1" ht="12.75">
      <c r="B10" s="21"/>
      <c r="C10" s="21"/>
      <c r="D10" s="21"/>
      <c r="E10" s="21"/>
      <c r="F10" s="21"/>
      <c r="G10" s="21"/>
    </row>
    <row r="11" spans="2:3" s="2" customFormat="1" ht="12.75">
      <c r="B11" s="1"/>
      <c r="C11" s="1"/>
    </row>
    <row r="12" ht="13.5" thickBot="1">
      <c r="G12" t="s">
        <v>91</v>
      </c>
    </row>
    <row r="13" spans="1:8" s="4" customFormat="1" ht="48.75" customHeight="1">
      <c r="A13" s="3" t="s">
        <v>0</v>
      </c>
      <c r="B13" s="17" t="s">
        <v>1</v>
      </c>
      <c r="C13" s="18" t="s">
        <v>27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88</v>
      </c>
    </row>
    <row r="14" spans="1:8" ht="12.75">
      <c r="A14" s="6">
        <v>1</v>
      </c>
      <c r="B14" s="13" t="s">
        <v>12</v>
      </c>
      <c r="C14" s="35">
        <f>350.3849184/1.18</f>
        <v>296.93637152542374</v>
      </c>
      <c r="D14" s="36">
        <f>525.08451/1.18</f>
        <v>444.98687288135596</v>
      </c>
      <c r="E14" s="36">
        <f>525.66908/1.18</f>
        <v>445.4822711864407</v>
      </c>
      <c r="F14" s="34">
        <f>525.49216/1.18</f>
        <v>445.3323389830509</v>
      </c>
      <c r="G14" s="34"/>
      <c r="H14" s="34">
        <f>C14+D14+E14+F14+G14</f>
        <v>1632.7378545762715</v>
      </c>
    </row>
    <row r="15" spans="1:8" ht="12.75">
      <c r="A15" s="6">
        <v>2</v>
      </c>
      <c r="B15" s="13" t="s">
        <v>13</v>
      </c>
      <c r="C15" s="44">
        <f>221.75395/1.18</f>
        <v>187.92707627118645</v>
      </c>
      <c r="D15" s="44">
        <f>423.45358/1.18</f>
        <v>358.85896610169493</v>
      </c>
      <c r="E15" s="44">
        <f>502.87355/1.18</f>
        <v>426.16402542372884</v>
      </c>
      <c r="F15" s="30">
        <f>465.18824/1.18</f>
        <v>394.22732203389836</v>
      </c>
      <c r="G15" s="30">
        <f>'[8]07.12'!$X$23/1.18/1000</f>
        <v>117.2309491525424</v>
      </c>
      <c r="H15" s="34">
        <f>C15+D15+E15+F15+G15</f>
        <v>1484.4083389830512</v>
      </c>
    </row>
    <row r="16" spans="1:8" ht="25.5">
      <c r="A16" s="6">
        <v>3</v>
      </c>
      <c r="B16" s="20" t="s">
        <v>42</v>
      </c>
      <c r="C16" s="33">
        <f>(C14-C15)*1.18</f>
        <v>128.6309684</v>
      </c>
      <c r="D16" s="30">
        <f>(D14-D15)*1.18+C16</f>
        <v>230.2618984</v>
      </c>
      <c r="E16" s="30">
        <f>(E14-E15)*1.18+D16</f>
        <v>253.0574284</v>
      </c>
      <c r="F16" s="30">
        <f>(F14-F15)*1.18+E16</f>
        <v>313.36134839999994</v>
      </c>
      <c r="G16" s="30">
        <f>(G14-G15)*1.18+F16+G17</f>
        <v>175.02882839999992</v>
      </c>
      <c r="H16" s="30">
        <f>(H14-H15)*1.18+H17</f>
        <v>175.02882839999998</v>
      </c>
    </row>
    <row r="17" spans="1:8" ht="12.75">
      <c r="A17" s="6"/>
      <c r="B17" s="12"/>
      <c r="C17" s="19"/>
      <c r="D17" s="19"/>
      <c r="E17" s="19"/>
      <c r="F17" s="23"/>
      <c r="G17" s="49"/>
      <c r="H17" s="30">
        <f>C17+D17+E17+F17+G17</f>
        <v>0</v>
      </c>
    </row>
    <row r="18" spans="1:17" ht="31.5" customHeight="1">
      <c r="A18" s="6">
        <v>4</v>
      </c>
      <c r="B18" s="20" t="s">
        <v>2</v>
      </c>
      <c r="C18" s="30">
        <f>SUM(C19:C25)</f>
        <v>300.11659372888556</v>
      </c>
      <c r="D18" s="30">
        <f>SUM(D19:D25)</f>
        <v>498.02096329000335</v>
      </c>
      <c r="E18" s="30">
        <f>SUM(E19:E25)</f>
        <v>394.66484301206316</v>
      </c>
      <c r="F18" s="30">
        <f>SUM(F19:F25)</f>
        <v>480.8774047451094</v>
      </c>
      <c r="G18" s="30"/>
      <c r="H18" s="30">
        <f aca="true" t="shared" si="0" ref="H18:H24">C18+D18+E18+F18+G18</f>
        <v>1673.6798047760612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1:8" ht="12.75">
      <c r="A19" s="29" t="s">
        <v>14</v>
      </c>
      <c r="B19" s="12" t="s">
        <v>4</v>
      </c>
      <c r="C19" s="30">
        <f>'[2]ул.Советская д4'!$AT$44</f>
        <v>140.91835999999998</v>
      </c>
      <c r="D19" s="30">
        <f>'[3]ул.Советская д4'!$AT$44</f>
        <v>110.15404999999998</v>
      </c>
      <c r="E19" s="30">
        <f>'[4]ул.Советская д4'!$AT$45</f>
        <v>47.2259071222</v>
      </c>
      <c r="F19" s="40">
        <f>'[6]ул.Советская д4'!$AT$45</f>
        <v>42.953897</v>
      </c>
      <c r="G19" s="40"/>
      <c r="H19" s="30">
        <f t="shared" si="0"/>
        <v>341.2522141221999</v>
      </c>
    </row>
    <row r="20" spans="1:8" ht="12.75">
      <c r="A20" s="29" t="s">
        <v>15</v>
      </c>
      <c r="B20" s="12" t="s">
        <v>19</v>
      </c>
      <c r="C20" s="30">
        <f>'[2]ул.Советская д4'!$AT$51+'[2]ул.Советская д4'!$AT$55</f>
        <v>68.61141899364</v>
      </c>
      <c r="D20" s="30">
        <f>'[3]ул.Советская д4'!$AT$51+'[3]ул.Советская д4'!$AT$55</f>
        <v>188.4579112173</v>
      </c>
      <c r="E20" s="28">
        <f>'[4]ул.Советская д4'!$AT$54+'[4]ул.Советская д4'!$AT$58</f>
        <v>184.5939823589149</v>
      </c>
      <c r="F20" s="30">
        <f>'[6]ул.Советская д4'!$AT$54+'[6]ул.Советская д4'!$AT$58</f>
        <v>258.90019757138015</v>
      </c>
      <c r="G20" s="30"/>
      <c r="H20" s="30">
        <f t="shared" si="0"/>
        <v>700.563510141235</v>
      </c>
    </row>
    <row r="21" spans="1:8" ht="12.75">
      <c r="A21" s="29" t="s">
        <v>16</v>
      </c>
      <c r="B21" s="12" t="s">
        <v>5</v>
      </c>
      <c r="C21" s="30">
        <f>'[2]ул.Советская д4'!$AT$83</f>
        <v>30.294900000000002</v>
      </c>
      <c r="D21" s="30">
        <f>'[3]ул.Советская д4'!$AT$83</f>
        <v>71.50909</v>
      </c>
      <c r="E21" s="30">
        <f>'[4]ул.Советская д4'!$AT$81</f>
        <v>69.20508669472326</v>
      </c>
      <c r="F21" s="30">
        <f>'[6]ул.Советская д4'!$AT$81</f>
        <v>75.73570904974534</v>
      </c>
      <c r="G21" s="30"/>
      <c r="H21" s="30">
        <f t="shared" si="0"/>
        <v>246.7447857444686</v>
      </c>
    </row>
    <row r="22" spans="1:8" ht="12.75">
      <c r="A22" s="29" t="s">
        <v>17</v>
      </c>
      <c r="B22" s="12" t="s">
        <v>6</v>
      </c>
      <c r="C22" s="30">
        <f>'[2]ул.Советская д4'!$AT$84</f>
        <v>3.7566</v>
      </c>
      <c r="D22" s="30">
        <f>'[3]ул.Советская д4'!$AT$84</f>
        <v>30.39530167</v>
      </c>
      <c r="E22" s="30">
        <f>'[4]ул.Советская д4'!$AT$83</f>
        <v>4.3180717395758315</v>
      </c>
      <c r="F22" s="30">
        <f>'[6]ул.Советская д4'!$AT$83</f>
        <v>2.75733550993281</v>
      </c>
      <c r="G22" s="30"/>
      <c r="H22" s="30">
        <f t="shared" si="0"/>
        <v>41.22730891950864</v>
      </c>
    </row>
    <row r="23" spans="1:8" ht="12.75">
      <c r="A23" s="29" t="s">
        <v>18</v>
      </c>
      <c r="B23" s="12" t="s">
        <v>7</v>
      </c>
      <c r="C23" s="30">
        <f>'[2]ул.Советская д4'!$AT$124</f>
        <v>11.994859006432002</v>
      </c>
      <c r="D23" s="30">
        <f>'[3]ул.Советская д4'!$AT$124</f>
        <v>30.364579470499997</v>
      </c>
      <c r="E23" s="30">
        <f>'[4]ул.Советская д4'!$AT$123</f>
        <v>22.34735014090527</v>
      </c>
      <c r="F23" s="30">
        <f>'[6]ул.Советская д4'!$AT$123</f>
        <v>33.51962376659352</v>
      </c>
      <c r="G23" s="30"/>
      <c r="H23" s="30">
        <f t="shared" si="0"/>
        <v>98.2264123844308</v>
      </c>
    </row>
    <row r="24" spans="1:8" ht="12.75">
      <c r="A24" s="29" t="s">
        <v>20</v>
      </c>
      <c r="B24" s="50" t="s">
        <v>24</v>
      </c>
      <c r="C24" s="30"/>
      <c r="D24" s="30">
        <f>'[3]ул.Советская д4'!$AT$79+'[3]ул.Советская д4'!$AT$59</f>
        <v>0.392</v>
      </c>
      <c r="E24" s="30">
        <f>'[4]ул.Советская д4'!$AT$78+'[4]ул.Советская д4'!$AT$75+'[4]ул.Советская д4'!$AT$68+'[4]ул.Советская д4'!$AT$63</f>
        <v>0.1521042777777778</v>
      </c>
      <c r="F24" s="30">
        <f>'[6]ул.Советская д4'!$AT$79+'[6]ул.Советская д4'!$AT$78+'[6]ул.Советская д4'!$AT$68</f>
        <v>0.210791</v>
      </c>
      <c r="G24" s="30"/>
      <c r="H24" s="30">
        <f t="shared" si="0"/>
        <v>0.7548952777777778</v>
      </c>
    </row>
    <row r="25" spans="1:8" ht="13.5" thickBot="1">
      <c r="A25" s="29" t="s">
        <v>86</v>
      </c>
      <c r="B25" s="24" t="s">
        <v>87</v>
      </c>
      <c r="C25" s="30">
        <f>C14*15%</f>
        <v>44.54045572881356</v>
      </c>
      <c r="D25" s="30">
        <f>D14*15%</f>
        <v>66.74803093220339</v>
      </c>
      <c r="E25" s="30">
        <f>E14*15%</f>
        <v>66.8223406779661</v>
      </c>
      <c r="F25" s="70">
        <f>F14*15%</f>
        <v>66.79985084745763</v>
      </c>
      <c r="G25" s="74"/>
      <c r="H25" s="70">
        <f>H14*15%</f>
        <v>244.91067818644072</v>
      </c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7" ht="12.75">
      <c r="A27" s="9"/>
      <c r="B27" s="9"/>
      <c r="C27" s="9"/>
      <c r="D27" s="9"/>
      <c r="E27" s="9"/>
      <c r="F27" s="9"/>
      <c r="G27" s="14"/>
    </row>
    <row r="28" spans="1:7" ht="12.75">
      <c r="A28" s="9"/>
      <c r="B28" s="9"/>
      <c r="C28" s="9"/>
      <c r="D28" s="9"/>
      <c r="E28" s="9"/>
      <c r="F28" s="9"/>
      <c r="G28" s="9"/>
    </row>
    <row r="29" spans="1:7" ht="68.25" customHeight="1">
      <c r="A29" s="9"/>
      <c r="B29" s="31" t="s">
        <v>22</v>
      </c>
      <c r="C29" s="31"/>
      <c r="D29" s="31"/>
      <c r="E29" s="15" t="s">
        <v>8</v>
      </c>
      <c r="F29" s="9"/>
      <c r="G29" s="10"/>
    </row>
    <row r="30" spans="1:7" ht="48" customHeight="1">
      <c r="A30" s="9"/>
      <c r="B30" s="15" t="s">
        <v>9</v>
      </c>
      <c r="C30" s="15"/>
      <c r="D30" s="15"/>
      <c r="E30" s="15" t="s">
        <v>10</v>
      </c>
      <c r="F30" s="9"/>
      <c r="G30" s="10"/>
    </row>
    <row r="31" spans="1:9" ht="12.75">
      <c r="A31" s="9"/>
      <c r="B31" s="15"/>
      <c r="C31" s="15"/>
      <c r="D31" s="15"/>
      <c r="E31" s="15"/>
      <c r="F31" s="9"/>
      <c r="G31" s="10"/>
      <c r="H31" s="5"/>
      <c r="I31" s="5"/>
    </row>
    <row r="32" spans="1:9" ht="12.75">
      <c r="A32" s="9"/>
      <c r="B32" s="9"/>
      <c r="C32" s="9"/>
      <c r="D32" s="9"/>
      <c r="E32" s="9"/>
      <c r="F32" s="9"/>
      <c r="G32" s="10"/>
      <c r="H32" s="1"/>
      <c r="I32" s="1"/>
    </row>
    <row r="33" spans="1:9" s="2" customFormat="1" ht="12.75">
      <c r="A33" s="15"/>
      <c r="B33" s="15"/>
      <c r="C33" s="15"/>
      <c r="D33" s="15"/>
      <c r="E33" s="15"/>
      <c r="F33" s="15"/>
      <c r="G33" s="16"/>
      <c r="H33" s="7"/>
      <c r="I33" s="7"/>
    </row>
    <row r="34" spans="7:9" s="9" customFormat="1" ht="12.75">
      <c r="G34" s="10"/>
      <c r="H34"/>
      <c r="I34" s="7"/>
    </row>
    <row r="35" spans="7:9" s="9" customFormat="1" ht="12.75">
      <c r="G35" s="10"/>
      <c r="H35"/>
      <c r="I35" s="7"/>
    </row>
    <row r="36" spans="1:7" ht="12.75">
      <c r="A36" s="9"/>
      <c r="B36" s="9"/>
      <c r="C36" s="9"/>
      <c r="D36" s="9"/>
      <c r="E36" s="9"/>
      <c r="F36" s="9"/>
      <c r="G36" s="10"/>
    </row>
    <row r="37" s="9" customFormat="1" ht="12.75">
      <c r="H37"/>
    </row>
    <row r="38" s="9" customFormat="1" ht="12.75">
      <c r="H38" s="1"/>
    </row>
    <row r="39" spans="2:8" s="9" customFormat="1" ht="12.75">
      <c r="B39" s="11" t="s">
        <v>11</v>
      </c>
      <c r="C39" s="11"/>
      <c r="D39" s="11"/>
      <c r="H39" s="1"/>
    </row>
    <row r="40" spans="2:8" s="9" customFormat="1" ht="12.75">
      <c r="B40" s="9" t="s">
        <v>21</v>
      </c>
      <c r="H40" s="8"/>
    </row>
    <row r="41" s="9" customFormat="1" ht="12.75">
      <c r="H41" s="8"/>
    </row>
    <row r="42" s="9" customFormat="1" ht="12.75">
      <c r="H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H50" s="9"/>
    </row>
    <row r="51" ht="12.75">
      <c r="H51" s="9"/>
    </row>
    <row r="52" ht="12.75">
      <c r="H52" s="9"/>
    </row>
    <row r="53" ht="12.75">
      <c r="H53" s="9"/>
    </row>
    <row r="54" ht="12.75">
      <c r="H54" s="9"/>
    </row>
    <row r="55" ht="12.75">
      <c r="H55" s="9"/>
    </row>
  </sheetData>
  <sheetProtection/>
  <mergeCells count="3">
    <mergeCell ref="A5:F5"/>
    <mergeCell ref="B7:F7"/>
    <mergeCell ref="A8:F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Q55"/>
  <sheetViews>
    <sheetView view="pageBreakPreview" zoomScaleSheetLayoutView="100" zoomScalePageLayoutView="0" workbookViewId="0" topLeftCell="A4">
      <selection activeCell="H18" sqref="H18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11.25390625" style="0" customWidth="1"/>
    <col min="4" max="4" width="11.375" style="0" customWidth="1"/>
    <col min="5" max="5" width="9.625" style="0" customWidth="1"/>
    <col min="6" max="6" width="11.125" style="0" customWidth="1"/>
    <col min="7" max="7" width="10.25390625" style="0" customWidth="1"/>
    <col min="9" max="9" width="9.625" style="0" bestFit="1" customWidth="1"/>
  </cols>
  <sheetData>
    <row r="5" spans="1:6" ht="26.25">
      <c r="A5" s="117" t="s">
        <v>3</v>
      </c>
      <c r="B5" s="117"/>
      <c r="C5" s="117"/>
      <c r="D5" s="117"/>
      <c r="E5" s="117"/>
      <c r="F5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48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spans="2:7" s="2" customFormat="1" ht="12.75">
      <c r="B10" s="21"/>
      <c r="C10" s="21"/>
      <c r="D10" s="21"/>
      <c r="E10" s="21"/>
      <c r="F10" s="21"/>
      <c r="G10" s="21"/>
    </row>
    <row r="11" spans="2:3" s="2" customFormat="1" ht="12.75">
      <c r="B11" s="1"/>
      <c r="C11" s="1"/>
    </row>
    <row r="12" ht="13.5" thickBot="1">
      <c r="G12" t="s">
        <v>91</v>
      </c>
    </row>
    <row r="13" spans="1:8" s="4" customFormat="1" ht="48.75" customHeight="1">
      <c r="A13" s="3" t="s">
        <v>0</v>
      </c>
      <c r="B13" s="17" t="s">
        <v>1</v>
      </c>
      <c r="C13" s="18" t="s">
        <v>27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88</v>
      </c>
    </row>
    <row r="14" spans="1:8" ht="12.75">
      <c r="A14" s="6">
        <v>1</v>
      </c>
      <c r="B14" s="13" t="s">
        <v>12</v>
      </c>
      <c r="C14" s="35">
        <f>348.862304/1.18</f>
        <v>295.6460203389831</v>
      </c>
      <c r="D14" s="36">
        <f>523.34397/1.18</f>
        <v>443.5118389830509</v>
      </c>
      <c r="E14" s="36">
        <f>522.73379/1.18</f>
        <v>442.99473728813564</v>
      </c>
      <c r="F14" s="34">
        <f>528.06407/1.18</f>
        <v>447.5119237288136</v>
      </c>
      <c r="G14" s="34"/>
      <c r="H14" s="34">
        <f>C14+D14+E14+F14+G14</f>
        <v>1629.6645203389833</v>
      </c>
    </row>
    <row r="15" spans="1:8" ht="12.75">
      <c r="A15" s="6">
        <v>2</v>
      </c>
      <c r="B15" s="13" t="s">
        <v>13</v>
      </c>
      <c r="C15" s="38">
        <f>244.90046/1.18</f>
        <v>207.5427627118644</v>
      </c>
      <c r="D15" s="44">
        <f>467.84521/1.18</f>
        <v>396.47899152542374</v>
      </c>
      <c r="E15" s="44">
        <f>484.071/1.18</f>
        <v>410.2296610169492</v>
      </c>
      <c r="F15" s="30">
        <f>511.36013/1.18</f>
        <v>433.3560423728814</v>
      </c>
      <c r="G15" s="30">
        <f>'[8]07.12'!$X$24/1.18/1000</f>
        <v>92.26333050847457</v>
      </c>
      <c r="H15" s="34">
        <f>C15+D15+E15+F15+G15</f>
        <v>1539.8707881355933</v>
      </c>
    </row>
    <row r="16" spans="1:8" ht="25.5">
      <c r="A16" s="6">
        <v>3</v>
      </c>
      <c r="B16" s="20" t="s">
        <v>42</v>
      </c>
      <c r="C16" s="33">
        <f>(C14-C15)*1.18</f>
        <v>103.96184400000001</v>
      </c>
      <c r="D16" s="30">
        <f>(D14-D15)*1.18+C16</f>
        <v>159.46060400000005</v>
      </c>
      <c r="E16" s="30">
        <f>(E14-E15)*1.18+D16</f>
        <v>198.12339400000005</v>
      </c>
      <c r="F16" s="30">
        <f>(F14-F15)*1.18+E16+F17</f>
        <v>211.97567400000003</v>
      </c>
      <c r="G16" s="30">
        <f>(G14-G15)*1.18+F16+G17</f>
        <v>103.10494400000005</v>
      </c>
      <c r="H16" s="30">
        <f>(H14-H15)*1.18+H17</f>
        <v>103.10494400000012</v>
      </c>
    </row>
    <row r="17" spans="1:8" ht="12.75">
      <c r="A17" s="6"/>
      <c r="B17" s="12" t="s">
        <v>41</v>
      </c>
      <c r="C17" s="19"/>
      <c r="D17" s="19"/>
      <c r="E17" s="19"/>
      <c r="F17" s="42">
        <v>-2.85166</v>
      </c>
      <c r="G17" s="49"/>
      <c r="H17" s="30">
        <f>C17+D17+E17+F17+G17</f>
        <v>-2.85166</v>
      </c>
    </row>
    <row r="18" spans="1:17" ht="31.5" customHeight="1">
      <c r="A18" s="6">
        <v>4</v>
      </c>
      <c r="B18" s="20" t="s">
        <v>2</v>
      </c>
      <c r="C18" s="30">
        <f>SUM(C19:C25)</f>
        <v>289.62803165748346</v>
      </c>
      <c r="D18" s="30">
        <f>SUM(D19:D25)</f>
        <v>459.8246153838576</v>
      </c>
      <c r="E18" s="30">
        <f>SUM(E19:E25)</f>
        <v>393.3050813117037</v>
      </c>
      <c r="F18" s="30">
        <f>SUM(F19:F25)</f>
        <v>450.2360896579493</v>
      </c>
      <c r="G18" s="30"/>
      <c r="H18" s="30">
        <f aca="true" t="shared" si="0" ref="H18:H24">C18+D18+E18+F18+G18</f>
        <v>1592.9938180109941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1:8" ht="12.75">
      <c r="A19" s="29" t="s">
        <v>14</v>
      </c>
      <c r="B19" s="12" t="s">
        <v>4</v>
      </c>
      <c r="C19" s="30">
        <f>'[2]ул.Советская д6'!$AT$44</f>
        <v>119.89448</v>
      </c>
      <c r="D19" s="30">
        <f>'[3]ул.Советская д6'!$AT$44</f>
        <v>74.56692000000001</v>
      </c>
      <c r="E19" s="30">
        <f>'[4]ул.Советская д6'!$AT$45</f>
        <v>67.6997471222</v>
      </c>
      <c r="F19" s="40">
        <f>'[6]ул.Советская д6'!$AT$45</f>
        <v>17.779407</v>
      </c>
      <c r="G19" s="40"/>
      <c r="H19" s="30">
        <f t="shared" si="0"/>
        <v>279.9405541222</v>
      </c>
    </row>
    <row r="20" spans="1:8" ht="12.75">
      <c r="A20" s="29" t="s">
        <v>15</v>
      </c>
      <c r="B20" s="12" t="s">
        <v>19</v>
      </c>
      <c r="C20" s="30">
        <f>'[2]ул.Советская д6'!$AT$51+'[2]ул.Советская д6'!$AT$55</f>
        <v>77.71988531882</v>
      </c>
      <c r="D20" s="30">
        <f>'[3]ул.Советская д6'!$AT$51+'[3]ул.Советская д6'!$AT$55</f>
        <v>191.5136283224</v>
      </c>
      <c r="E20" s="28">
        <f>'[4]ул.Советская д6'!$AT$54+'[4]ул.Советская д6'!$AT$58</f>
        <v>166.27668368189364</v>
      </c>
      <c r="F20" s="30">
        <f>'[6]ул.Советская д6'!$AT$54+'[6]ул.Советская д6'!$AT$58</f>
        <v>259.4229360998807</v>
      </c>
      <c r="G20" s="30"/>
      <c r="H20" s="30">
        <f t="shared" si="0"/>
        <v>694.9331334229944</v>
      </c>
    </row>
    <row r="21" spans="1:8" ht="12.75">
      <c r="A21" s="29" t="s">
        <v>16</v>
      </c>
      <c r="B21" s="12" t="s">
        <v>5</v>
      </c>
      <c r="C21" s="30">
        <f>'[2]ул.Советская д6'!$AT$83</f>
        <v>30.918899999999997</v>
      </c>
      <c r="D21" s="30">
        <f>'[3]ул.Советская д6'!$AT$83</f>
        <v>70.81174999999999</v>
      </c>
      <c r="E21" s="30">
        <f>'[4]ул.Советская д6'!$AT$81</f>
        <v>68.84041154955352</v>
      </c>
      <c r="F21" s="30">
        <f>'[6]ул.Советская д6'!$AT$81</f>
        <v>75.56139047674024</v>
      </c>
      <c r="G21" s="30"/>
      <c r="H21" s="30">
        <f t="shared" si="0"/>
        <v>246.13245202629378</v>
      </c>
    </row>
    <row r="22" spans="1:8" ht="12.75">
      <c r="A22" s="29" t="s">
        <v>17</v>
      </c>
      <c r="B22" s="12" t="s">
        <v>6</v>
      </c>
      <c r="C22" s="30">
        <f>'[2]ул.Советская д6'!$AT$84</f>
        <v>3.3205</v>
      </c>
      <c r="D22" s="30">
        <f>'[3]ул.Советская д6'!$AT$84</f>
        <v>23.757486189999998</v>
      </c>
      <c r="E22" s="30">
        <f>'[4]ул.Советская д6'!$AT$83</f>
        <v>4.043659491709174</v>
      </c>
      <c r="F22" s="30">
        <f>'[6]ул.Советская д6'!$AT$83</f>
        <v>2.0030030302898805</v>
      </c>
      <c r="G22" s="30"/>
      <c r="H22" s="30">
        <f t="shared" si="0"/>
        <v>33.12464871199905</v>
      </c>
    </row>
    <row r="23" spans="1:8" ht="12.75">
      <c r="A23" s="29" t="s">
        <v>18</v>
      </c>
      <c r="B23" s="12" t="s">
        <v>7</v>
      </c>
      <c r="C23" s="30">
        <f>'[2]ул.Советская д6'!$AT$124</f>
        <v>13.427363287816</v>
      </c>
      <c r="D23" s="30">
        <f>'[3]ул.Советская д6'!$AT$124</f>
        <v>32.256055024</v>
      </c>
      <c r="E23" s="30">
        <f>'[4]ул.Советская д6'!$AT$123</f>
        <v>19.843264595349257</v>
      </c>
      <c r="F23" s="30">
        <f>'[6]ул.Советская д6'!$AT$123</f>
        <v>27.990773491716443</v>
      </c>
      <c r="G23" s="30"/>
      <c r="H23" s="30">
        <f t="shared" si="0"/>
        <v>93.51745639888169</v>
      </c>
    </row>
    <row r="24" spans="1:8" ht="12.75">
      <c r="A24" s="29" t="s">
        <v>20</v>
      </c>
      <c r="B24" s="50" t="s">
        <v>24</v>
      </c>
      <c r="C24" s="30"/>
      <c r="D24" s="30">
        <f>'[3]ул.Советская д6'!$AT$79+'[3]ул.Советская д6'!$AT$59</f>
        <v>0.392</v>
      </c>
      <c r="E24" s="30">
        <f>'[4]ул.Советская д6'!$AT$78+'[4]ул.Советская д6'!$AT$75+'[4]ул.Советская д6'!$AT$68+'[4]ул.Советская д6'!$AT$63</f>
        <v>0.1521042777777778</v>
      </c>
      <c r="F24" s="30">
        <f>'[6]ул.Советская д6'!$AT$68+'[6]ул.Советская д6'!$AT$78+'[6]ул.Советская д6'!$AT$79+'[6]ул.Советская д6'!$AT$63</f>
        <v>0.35179099999999996</v>
      </c>
      <c r="G24" s="30"/>
      <c r="H24" s="30">
        <f t="shared" si="0"/>
        <v>0.8958952777777778</v>
      </c>
    </row>
    <row r="25" spans="1:8" ht="13.5" thickBot="1">
      <c r="A25" s="29" t="s">
        <v>86</v>
      </c>
      <c r="B25" s="24" t="s">
        <v>87</v>
      </c>
      <c r="C25" s="30">
        <f>C14*15%</f>
        <v>44.34690305084746</v>
      </c>
      <c r="D25" s="30">
        <f>D14*15%</f>
        <v>66.52677584745763</v>
      </c>
      <c r="E25" s="30">
        <f>E14*15%</f>
        <v>66.44921059322034</v>
      </c>
      <c r="F25" s="70">
        <f>F14*15%</f>
        <v>67.12678855932204</v>
      </c>
      <c r="G25" s="74"/>
      <c r="H25" s="70">
        <f>H14*15%</f>
        <v>244.44967805084747</v>
      </c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7" ht="12.75">
      <c r="A27" s="9"/>
      <c r="B27" s="9"/>
      <c r="C27" s="9"/>
      <c r="D27" s="9"/>
      <c r="E27" s="9"/>
      <c r="F27" s="9"/>
      <c r="G27" s="14"/>
    </row>
    <row r="28" spans="1:7" ht="12.75">
      <c r="A28" s="9"/>
      <c r="B28" s="9"/>
      <c r="C28" s="9"/>
      <c r="D28" s="9"/>
      <c r="E28" s="9"/>
      <c r="F28" s="9"/>
      <c r="G28" s="9"/>
    </row>
    <row r="29" spans="1:7" ht="68.25" customHeight="1">
      <c r="A29" s="9"/>
      <c r="B29" s="31" t="s">
        <v>22</v>
      </c>
      <c r="C29" s="31"/>
      <c r="D29" s="31"/>
      <c r="E29" s="15" t="s">
        <v>8</v>
      </c>
      <c r="F29" s="9"/>
      <c r="G29" s="10"/>
    </row>
    <row r="30" spans="1:7" ht="48" customHeight="1">
      <c r="A30" s="9"/>
      <c r="B30" s="15" t="s">
        <v>9</v>
      </c>
      <c r="C30" s="15"/>
      <c r="D30" s="15"/>
      <c r="E30" s="15" t="s">
        <v>10</v>
      </c>
      <c r="F30" s="9"/>
      <c r="G30" s="10"/>
    </row>
    <row r="31" spans="1:9" ht="12.75">
      <c r="A31" s="9"/>
      <c r="B31" s="15"/>
      <c r="C31" s="15"/>
      <c r="D31" s="15"/>
      <c r="E31" s="15"/>
      <c r="F31" s="9"/>
      <c r="G31" s="10"/>
      <c r="H31" s="5"/>
      <c r="I31" s="5"/>
    </row>
    <row r="32" spans="1:9" ht="12.75">
      <c r="A32" s="9"/>
      <c r="B32" s="9"/>
      <c r="C32" s="9"/>
      <c r="D32" s="9"/>
      <c r="E32" s="9"/>
      <c r="F32" s="9"/>
      <c r="G32" s="10"/>
      <c r="H32" s="1"/>
      <c r="I32" s="1"/>
    </row>
    <row r="33" spans="1:9" s="2" customFormat="1" ht="12.75">
      <c r="A33" s="15"/>
      <c r="B33" s="15"/>
      <c r="C33" s="15"/>
      <c r="D33" s="15"/>
      <c r="E33" s="15"/>
      <c r="F33" s="15"/>
      <c r="G33" s="16"/>
      <c r="H33" s="7"/>
      <c r="I33" s="7"/>
    </row>
    <row r="34" spans="7:9" s="9" customFormat="1" ht="12.75">
      <c r="G34" s="10"/>
      <c r="H34"/>
      <c r="I34" s="7"/>
    </row>
    <row r="35" spans="7:9" s="9" customFormat="1" ht="12.75">
      <c r="G35" s="10"/>
      <c r="H35"/>
      <c r="I35" s="7"/>
    </row>
    <row r="36" spans="1:7" ht="12.75">
      <c r="A36" s="9"/>
      <c r="B36" s="9"/>
      <c r="C36" s="9"/>
      <c r="D36" s="9"/>
      <c r="E36" s="9"/>
      <c r="F36" s="9"/>
      <c r="G36" s="10"/>
    </row>
    <row r="37" s="9" customFormat="1" ht="12.75">
      <c r="H37"/>
    </row>
    <row r="38" s="9" customFormat="1" ht="12.75">
      <c r="H38" s="1"/>
    </row>
    <row r="39" spans="2:8" s="9" customFormat="1" ht="12.75">
      <c r="B39" s="11" t="s">
        <v>11</v>
      </c>
      <c r="C39" s="11"/>
      <c r="D39" s="11"/>
      <c r="H39" s="1"/>
    </row>
    <row r="40" spans="2:8" s="9" customFormat="1" ht="12.75">
      <c r="B40" s="9" t="s">
        <v>21</v>
      </c>
      <c r="H40" s="8"/>
    </row>
    <row r="41" s="9" customFormat="1" ht="12.75">
      <c r="H41" s="8"/>
    </row>
    <row r="42" s="9" customFormat="1" ht="12.75">
      <c r="H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H50" s="9"/>
    </row>
    <row r="51" ht="12.75">
      <c r="H51" s="9"/>
    </row>
    <row r="52" ht="12.75">
      <c r="H52" s="9"/>
    </row>
    <row r="53" ht="12.75">
      <c r="H53" s="9"/>
    </row>
    <row r="54" ht="12.75">
      <c r="H54" s="9"/>
    </row>
    <row r="55" ht="12.75">
      <c r="H55" s="9"/>
    </row>
  </sheetData>
  <sheetProtection/>
  <mergeCells count="3">
    <mergeCell ref="A5:F5"/>
    <mergeCell ref="B7:F7"/>
    <mergeCell ref="A8:F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Q55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11.25390625" style="0" customWidth="1"/>
    <col min="4" max="4" width="11.375" style="0" customWidth="1"/>
    <col min="5" max="5" width="9.625" style="0" customWidth="1"/>
    <col min="6" max="6" width="11.125" style="0" customWidth="1"/>
    <col min="7" max="7" width="10.25390625" style="0" customWidth="1"/>
    <col min="9" max="9" width="9.625" style="0" bestFit="1" customWidth="1"/>
  </cols>
  <sheetData>
    <row r="5" spans="1:6" ht="26.25">
      <c r="A5" s="117" t="s">
        <v>3</v>
      </c>
      <c r="B5" s="117"/>
      <c r="C5" s="117"/>
      <c r="D5" s="117"/>
      <c r="E5" s="117"/>
      <c r="F5" s="117"/>
    </row>
    <row r="7" spans="1:7" s="2" customFormat="1" ht="15.75">
      <c r="A7" s="32"/>
      <c r="B7" s="118" t="s">
        <v>23</v>
      </c>
      <c r="C7" s="118"/>
      <c r="D7" s="118"/>
      <c r="E7" s="118"/>
      <c r="F7" s="118"/>
      <c r="G7" s="21"/>
    </row>
    <row r="8" spans="1:7" s="2" customFormat="1" ht="15.75">
      <c r="A8" s="118" t="s">
        <v>49</v>
      </c>
      <c r="B8" s="118"/>
      <c r="C8" s="118"/>
      <c r="D8" s="118"/>
      <c r="E8" s="118"/>
      <c r="F8" s="118"/>
      <c r="G8" s="21"/>
    </row>
    <row r="9" spans="2:3" s="2" customFormat="1" ht="12.75">
      <c r="B9" s="22"/>
      <c r="C9" s="22"/>
    </row>
    <row r="10" spans="2:7" s="2" customFormat="1" ht="12.75">
      <c r="B10" s="21"/>
      <c r="C10" s="21"/>
      <c r="D10" s="21"/>
      <c r="E10" s="21"/>
      <c r="F10" s="21"/>
      <c r="G10" s="21"/>
    </row>
    <row r="11" spans="2:3" s="2" customFormat="1" ht="12.75">
      <c r="B11" s="1"/>
      <c r="C11" s="1"/>
    </row>
    <row r="12" ht="13.5" thickBot="1">
      <c r="G12" t="s">
        <v>91</v>
      </c>
    </row>
    <row r="13" spans="1:8" s="4" customFormat="1" ht="48.75" customHeight="1">
      <c r="A13" s="3" t="s">
        <v>0</v>
      </c>
      <c r="B13" s="17" t="s">
        <v>1</v>
      </c>
      <c r="C13" s="18" t="s">
        <v>27</v>
      </c>
      <c r="D13" s="18" t="s">
        <v>25</v>
      </c>
      <c r="E13" s="18" t="s">
        <v>26</v>
      </c>
      <c r="F13" s="18" t="s">
        <v>39</v>
      </c>
      <c r="G13" s="18" t="s">
        <v>52</v>
      </c>
      <c r="H13" s="18" t="s">
        <v>88</v>
      </c>
    </row>
    <row r="14" spans="1:8" ht="12.75">
      <c r="A14" s="6">
        <v>1</v>
      </c>
      <c r="B14" s="13" t="s">
        <v>12</v>
      </c>
      <c r="C14" s="35">
        <f>240.2398448/1.18</f>
        <v>203.59308881355932</v>
      </c>
      <c r="D14" s="36">
        <f>367.1338/1.18</f>
        <v>311.1303389830509</v>
      </c>
      <c r="E14" s="36">
        <f>374.89614/1.18</f>
        <v>317.708593220339</v>
      </c>
      <c r="F14" s="34">
        <f>382.4482/1.18</f>
        <v>324.1086440677966</v>
      </c>
      <c r="G14" s="34"/>
      <c r="H14" s="34">
        <f>C14+D14+E14+F14+G14</f>
        <v>1156.5406650847458</v>
      </c>
    </row>
    <row r="15" spans="1:8" ht="12.75">
      <c r="A15" s="6">
        <v>2</v>
      </c>
      <c r="B15" s="13" t="s">
        <v>13</v>
      </c>
      <c r="C15" s="38">
        <f>172.25659/1.18</f>
        <v>145.98016101694915</v>
      </c>
      <c r="D15" s="39">
        <f>315.59394/1.18</f>
        <v>267.45249152542374</v>
      </c>
      <c r="E15" s="39">
        <f>348.6433/1.18</f>
        <v>295.46042372881357</v>
      </c>
      <c r="F15" s="30">
        <f>343.58643/1.18</f>
        <v>291.1749406779661</v>
      </c>
      <c r="G15" s="30">
        <f>'[8]07.12'!$X$25/1.18/1000</f>
        <v>83.01757627118644</v>
      </c>
      <c r="H15" s="34">
        <f>C15+D15+E15+F15+G15</f>
        <v>1083.085593220339</v>
      </c>
    </row>
    <row r="16" spans="1:8" ht="25.5">
      <c r="A16" s="6">
        <v>3</v>
      </c>
      <c r="B16" s="20" t="s">
        <v>42</v>
      </c>
      <c r="C16" s="30">
        <f>(C14-C15)*1.18</f>
        <v>67.9832548</v>
      </c>
      <c r="D16" s="33">
        <f>(D14-D15)*1.18+C16</f>
        <v>119.52311480000002</v>
      </c>
      <c r="E16" s="33">
        <f>(E14-E15)*1.18+D16</f>
        <v>145.77595480000005</v>
      </c>
      <c r="F16" s="30">
        <f>(F14-F15)*1.18+E16+F17</f>
        <v>175.20384480000004</v>
      </c>
      <c r="G16" s="30">
        <f>(G14-G15)*1.18+F16+G17</f>
        <v>77.24310480000004</v>
      </c>
      <c r="H16" s="30">
        <f>(H14-H15)*1.18+H17</f>
        <v>77.24310480000004</v>
      </c>
    </row>
    <row r="17" spans="1:8" ht="12.75">
      <c r="A17" s="6"/>
      <c r="B17" s="12" t="s">
        <v>41</v>
      </c>
      <c r="C17" s="19"/>
      <c r="D17" s="19"/>
      <c r="E17" s="19"/>
      <c r="F17" s="42">
        <v>-9.43388</v>
      </c>
      <c r="G17" s="49"/>
      <c r="H17" s="30">
        <f>C17+D17+E17+F17+G17</f>
        <v>-9.43388</v>
      </c>
    </row>
    <row r="18" spans="1:17" ht="31.5" customHeight="1">
      <c r="A18" s="6">
        <v>4</v>
      </c>
      <c r="B18" s="20" t="s">
        <v>2</v>
      </c>
      <c r="C18" s="30">
        <f>SUM(C19:C25)</f>
        <v>265.0049790219779</v>
      </c>
      <c r="D18" s="30">
        <f>SUM(D19:D25)</f>
        <v>328.2552502340576</v>
      </c>
      <c r="E18" s="30">
        <f>SUM(E19:E25)</f>
        <v>334.3393160835752</v>
      </c>
      <c r="F18" s="30">
        <f>SUM(F19:F25)</f>
        <v>434.99248234143937</v>
      </c>
      <c r="G18" s="30"/>
      <c r="H18" s="30">
        <f aca="true" t="shared" si="0" ref="H18:H24">C18+D18+E18+F18+G18</f>
        <v>1362.59202768105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1:8" ht="12.75">
      <c r="A19" s="29" t="s">
        <v>14</v>
      </c>
      <c r="B19" s="12" t="s">
        <v>4</v>
      </c>
      <c r="C19" s="30">
        <f>'[2]ул. Советская д10'!$AT$44</f>
        <v>125.97742999999998</v>
      </c>
      <c r="D19" s="30">
        <f>'[3]ул. Советская д10'!$AT$44</f>
        <v>37.844429999999996</v>
      </c>
      <c r="E19" s="30">
        <f>'[4]ул. Советская д10'!$AT$45</f>
        <v>50.27315012220001</v>
      </c>
      <c r="F19" s="40">
        <f>'[6]ул. Советская д10'!$AT$45</f>
        <v>57.409687</v>
      </c>
      <c r="G19" s="40"/>
      <c r="H19" s="30">
        <f t="shared" si="0"/>
        <v>271.5046971222</v>
      </c>
    </row>
    <row r="20" spans="1:8" ht="12.75">
      <c r="A20" s="29" t="s">
        <v>15</v>
      </c>
      <c r="B20" s="12" t="s">
        <v>19</v>
      </c>
      <c r="C20" s="30">
        <f>'[2]ул. Советская д10'!$AT$51+'[2]ул. Советская д10'!$AT$55</f>
        <v>67.11598011327999</v>
      </c>
      <c r="D20" s="30">
        <f>'[3]ул. Советская д10'!$AT$51+'[3]ул. Советская д10'!$AT$55</f>
        <v>152.7975132131</v>
      </c>
      <c r="E20" s="28">
        <f>'[4]ул. Советская д10'!$AT$54+'[4]ул. Советская д10'!$AT$58</f>
        <v>161.51546473022836</v>
      </c>
      <c r="F20" s="30">
        <f>'[6]ул. Советская д10'!$AT$54+'[6]ул. Советская д10'!$AT$58</f>
        <v>243.47775574677627</v>
      </c>
      <c r="G20" s="30"/>
      <c r="H20" s="30">
        <f t="shared" si="0"/>
        <v>624.9067138033846</v>
      </c>
    </row>
    <row r="21" spans="1:8" ht="12.75">
      <c r="A21" s="29" t="s">
        <v>16</v>
      </c>
      <c r="B21" s="12" t="s">
        <v>5</v>
      </c>
      <c r="C21" s="30">
        <f>'[2]ул. Советская д10'!$AT$83</f>
        <v>28.23091</v>
      </c>
      <c r="D21" s="30">
        <f>'[3]ул. Советская д10'!$AT$83</f>
        <v>49.85413</v>
      </c>
      <c r="E21" s="30">
        <f>'[4]ул. Советская д10'!$AT$81</f>
        <v>50.52623141552909</v>
      </c>
      <c r="F21" s="30">
        <f>'[6]ул. Советская д10'!$AT$81</f>
        <v>54.907933315110355</v>
      </c>
      <c r="G21" s="30"/>
      <c r="H21" s="30">
        <f t="shared" si="0"/>
        <v>183.51920473063944</v>
      </c>
    </row>
    <row r="22" spans="1:8" ht="12.75">
      <c r="A22" s="29" t="s">
        <v>17</v>
      </c>
      <c r="B22" s="12" t="s">
        <v>6</v>
      </c>
      <c r="C22" s="30">
        <f>'[2]ул. Советская д10'!$AT$84</f>
        <v>1.698</v>
      </c>
      <c r="D22" s="30">
        <f>'[3]ул. Советская д10'!$AT$84</f>
        <v>15.216616429999998</v>
      </c>
      <c r="E22" s="30">
        <f>'[4]ул. Советская д10'!$AT$83</f>
        <v>5.24150254904765</v>
      </c>
      <c r="F22" s="30">
        <f>'[6]ул. Советская д10'!$AT$83</f>
        <v>3.6897085438638486</v>
      </c>
      <c r="G22" s="30"/>
      <c r="H22" s="30">
        <f t="shared" si="0"/>
        <v>25.845827522911495</v>
      </c>
    </row>
    <row r="23" spans="1:8" ht="12.75">
      <c r="A23" s="29" t="s">
        <v>18</v>
      </c>
      <c r="B23" s="12" t="s">
        <v>7</v>
      </c>
      <c r="C23" s="30">
        <f>'[2]ул. Советская д10'!$AT$124</f>
        <v>11.443695586663999</v>
      </c>
      <c r="D23" s="30">
        <f>'[3]ул. Советская д10'!$AT$124</f>
        <v>25.4770097435</v>
      </c>
      <c r="E23" s="30">
        <f>'[4]ул. Советская д10'!$AT$123</f>
        <v>18.915754005741473</v>
      </c>
      <c r="F23" s="30">
        <f>'[6]ул. Советская д10'!$AT$123</f>
        <v>26.680310125519355</v>
      </c>
      <c r="G23" s="30"/>
      <c r="H23" s="30">
        <f t="shared" si="0"/>
        <v>82.51676946142483</v>
      </c>
    </row>
    <row r="24" spans="1:8" ht="12.75">
      <c r="A24" s="29" t="s">
        <v>20</v>
      </c>
      <c r="B24" s="50" t="s">
        <v>24</v>
      </c>
      <c r="C24" s="30"/>
      <c r="D24" s="30">
        <f>'[3]ул. Советская д10'!$AT$79+'[3]ул. Советская д10'!$AT$59</f>
        <v>0.396</v>
      </c>
      <c r="E24" s="30">
        <f>'[4]ул. Советская д10'!$AT$78+'[4]ул. Советская д10'!$AT$75+'[4]ул. Советская д10'!$AT$68+'[4]ул. Советская д10'!$AT$63</f>
        <v>0.21092427777777778</v>
      </c>
      <c r="F24" s="30">
        <f>'[6]ул. Советская д10'!$AT$68+'[6]ул. Советская д10'!$AT$78+'[6]ул. Советская д10'!$AT$79</f>
        <v>0.210791</v>
      </c>
      <c r="G24" s="30"/>
      <c r="H24" s="30">
        <f t="shared" si="0"/>
        <v>0.8177152777777779</v>
      </c>
    </row>
    <row r="25" spans="1:8" ht="13.5" thickBot="1">
      <c r="A25" s="29" t="s">
        <v>86</v>
      </c>
      <c r="B25" s="24" t="s">
        <v>87</v>
      </c>
      <c r="C25" s="30">
        <f>C14*15%</f>
        <v>30.538963322033897</v>
      </c>
      <c r="D25" s="30">
        <f>D14*15%</f>
        <v>46.66955084745763</v>
      </c>
      <c r="E25" s="30">
        <f>E14*15%</f>
        <v>47.65628898305085</v>
      </c>
      <c r="F25" s="70">
        <f>F14*15%</f>
        <v>48.61629661016949</v>
      </c>
      <c r="G25" s="74"/>
      <c r="H25" s="70">
        <f>H14*15%</f>
        <v>173.48109976271186</v>
      </c>
    </row>
    <row r="26" spans="1:8" ht="13.5" thickBot="1">
      <c r="A26" s="25"/>
      <c r="B26" s="26"/>
      <c r="C26" s="43"/>
      <c r="D26" s="27"/>
      <c r="E26" s="27"/>
      <c r="F26" s="27"/>
      <c r="G26" s="27"/>
      <c r="H26" s="27"/>
    </row>
    <row r="27" spans="1:7" ht="12.75">
      <c r="A27" s="9"/>
      <c r="B27" s="9"/>
      <c r="C27" s="9"/>
      <c r="D27" s="9"/>
      <c r="E27" s="9"/>
      <c r="F27" s="9"/>
      <c r="G27" s="14"/>
    </row>
    <row r="28" spans="1:7" ht="12.75">
      <c r="A28" s="9"/>
      <c r="B28" s="9"/>
      <c r="C28" s="9"/>
      <c r="D28" s="9"/>
      <c r="E28" s="9"/>
      <c r="F28" s="9"/>
      <c r="G28" s="9"/>
    </row>
    <row r="29" spans="1:7" ht="68.25" customHeight="1">
      <c r="A29" s="9"/>
      <c r="B29" s="31" t="s">
        <v>22</v>
      </c>
      <c r="C29" s="31"/>
      <c r="D29" s="31"/>
      <c r="E29" s="15" t="s">
        <v>8</v>
      </c>
      <c r="F29" s="9"/>
      <c r="G29" s="10"/>
    </row>
    <row r="30" spans="1:7" ht="48" customHeight="1">
      <c r="A30" s="9"/>
      <c r="B30" s="15" t="s">
        <v>9</v>
      </c>
      <c r="C30" s="15"/>
      <c r="D30" s="15"/>
      <c r="E30" s="15" t="s">
        <v>10</v>
      </c>
      <c r="F30" s="9"/>
      <c r="G30" s="10"/>
    </row>
    <row r="31" spans="1:9" ht="12.75">
      <c r="A31" s="9"/>
      <c r="B31" s="15"/>
      <c r="C31" s="15"/>
      <c r="D31" s="15"/>
      <c r="E31" s="15"/>
      <c r="F31" s="9"/>
      <c r="G31" s="10"/>
      <c r="H31" s="5"/>
      <c r="I31" s="5"/>
    </row>
    <row r="32" spans="1:9" ht="12.75">
      <c r="A32" s="9"/>
      <c r="B32" s="9"/>
      <c r="C32" s="9"/>
      <c r="D32" s="9"/>
      <c r="E32" s="9"/>
      <c r="F32" s="9"/>
      <c r="G32" s="10"/>
      <c r="H32" s="1"/>
      <c r="I32" s="1"/>
    </row>
    <row r="33" spans="1:9" s="2" customFormat="1" ht="12.75">
      <c r="A33" s="15"/>
      <c r="B33" s="15"/>
      <c r="C33" s="15"/>
      <c r="D33" s="15"/>
      <c r="E33" s="15"/>
      <c r="F33" s="15"/>
      <c r="G33" s="16"/>
      <c r="H33" s="7"/>
      <c r="I33" s="7"/>
    </row>
    <row r="34" spans="7:9" s="9" customFormat="1" ht="12.75">
      <c r="G34" s="10"/>
      <c r="H34"/>
      <c r="I34" s="7"/>
    </row>
    <row r="35" spans="7:9" s="9" customFormat="1" ht="12.75">
      <c r="G35" s="10"/>
      <c r="H35"/>
      <c r="I35" s="7"/>
    </row>
    <row r="36" spans="1:7" ht="12.75">
      <c r="A36" s="9"/>
      <c r="B36" s="9"/>
      <c r="C36" s="9"/>
      <c r="D36" s="9"/>
      <c r="E36" s="9"/>
      <c r="F36" s="9"/>
      <c r="G36" s="10"/>
    </row>
    <row r="37" s="9" customFormat="1" ht="12.75">
      <c r="H37"/>
    </row>
    <row r="38" s="9" customFormat="1" ht="12.75">
      <c r="H38" s="1"/>
    </row>
    <row r="39" spans="2:8" s="9" customFormat="1" ht="12.75">
      <c r="B39" s="11" t="s">
        <v>11</v>
      </c>
      <c r="C39" s="11"/>
      <c r="D39" s="11"/>
      <c r="H39" s="1"/>
    </row>
    <row r="40" spans="2:8" s="9" customFormat="1" ht="12.75">
      <c r="B40" s="9" t="s">
        <v>21</v>
      </c>
      <c r="H40" s="8"/>
    </row>
    <row r="41" s="9" customFormat="1" ht="12.75">
      <c r="H41" s="8"/>
    </row>
    <row r="42" s="9" customFormat="1" ht="12.75">
      <c r="H42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ht="12.75">
      <c r="H50" s="9"/>
    </row>
    <row r="51" ht="12.75">
      <c r="H51" s="9"/>
    </row>
    <row r="52" ht="12.75">
      <c r="H52" s="9"/>
    </row>
    <row r="53" ht="12.75">
      <c r="H53" s="9"/>
    </row>
    <row r="54" ht="12.75">
      <c r="H54" s="9"/>
    </row>
    <row r="55" ht="12.75">
      <c r="H55" s="9"/>
    </row>
  </sheetData>
  <sheetProtection/>
  <mergeCells count="3">
    <mergeCell ref="A5:F5"/>
    <mergeCell ref="B7:F7"/>
    <mergeCell ref="A8:F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6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.375" style="0" customWidth="1"/>
    <col min="2" max="2" width="40.875" style="0" customWidth="1"/>
    <col min="3" max="3" width="13.125" style="0" customWidth="1"/>
    <col min="4" max="4" width="12.75390625" style="0" customWidth="1"/>
    <col min="5" max="5" width="11.25390625" style="0" customWidth="1"/>
    <col min="7" max="7" width="14.375" style="0" customWidth="1"/>
  </cols>
  <sheetData>
    <row r="2" spans="1:4" ht="26.25">
      <c r="A2" s="117" t="s">
        <v>3</v>
      </c>
      <c r="B2" s="117"/>
      <c r="C2" s="117"/>
      <c r="D2" s="117"/>
    </row>
    <row r="4" spans="1:5" s="2" customFormat="1" ht="15.75">
      <c r="A4" s="32"/>
      <c r="B4" s="118" t="s">
        <v>23</v>
      </c>
      <c r="C4" s="118"/>
      <c r="D4" s="118"/>
      <c r="E4" s="21"/>
    </row>
    <row r="5" spans="1:5" s="2" customFormat="1" ht="15.75">
      <c r="A5" s="118" t="s">
        <v>201</v>
      </c>
      <c r="B5" s="118"/>
      <c r="C5" s="118"/>
      <c r="D5" s="118"/>
      <c r="E5" s="21"/>
    </row>
    <row r="6" s="2" customFormat="1" ht="12.75">
      <c r="B6" s="1"/>
    </row>
    <row r="7" ht="13.5" thickBot="1">
      <c r="E7" t="s">
        <v>192</v>
      </c>
    </row>
    <row r="8" spans="1:6" s="4" customFormat="1" ht="48.75" customHeight="1">
      <c r="A8" s="3" t="s">
        <v>0</v>
      </c>
      <c r="B8" s="17" t="s">
        <v>1</v>
      </c>
      <c r="C8" s="18" t="s">
        <v>26</v>
      </c>
      <c r="D8" s="18" t="s">
        <v>39</v>
      </c>
      <c r="E8" s="18" t="s">
        <v>52</v>
      </c>
      <c r="F8" s="18" t="s">
        <v>88</v>
      </c>
    </row>
    <row r="9" spans="1:6" ht="25.5">
      <c r="A9" s="6">
        <v>1</v>
      </c>
      <c r="B9" s="20" t="s">
        <v>193</v>
      </c>
      <c r="C9" s="36">
        <f>'[4]кв1.д3 '!$AT$173</f>
        <v>224.93559322033903</v>
      </c>
      <c r="D9" s="34">
        <f>531.23057/1.18</f>
        <v>450.1953983050847</v>
      </c>
      <c r="E9" s="34">
        <f>'[8]07.12'!$W$5/1000/1.18</f>
        <v>469.2792711864407</v>
      </c>
      <c r="F9" s="34">
        <f>C9+D9+E9</f>
        <v>1144.4102627118646</v>
      </c>
    </row>
    <row r="10" spans="1:6" ht="25.5">
      <c r="A10" s="6">
        <v>2</v>
      </c>
      <c r="B10" s="20" t="s">
        <v>199</v>
      </c>
      <c r="C10" s="44">
        <f>210.00044/1.18</f>
        <v>177.9664745762712</v>
      </c>
      <c r="D10" s="30">
        <f>524.324/1.18</f>
        <v>444.3423728813559</v>
      </c>
      <c r="E10" s="30">
        <f>'[8]07.12'!$X$5/1.18/1000</f>
        <v>463.98920338983055</v>
      </c>
      <c r="F10" s="34">
        <f>C10+D10+E10</f>
        <v>1086.2980508474575</v>
      </c>
    </row>
    <row r="11" spans="1:6" ht="27" customHeight="1">
      <c r="A11" s="6">
        <v>3</v>
      </c>
      <c r="B11" s="20" t="s">
        <v>194</v>
      </c>
      <c r="C11" s="33">
        <v>55.42356</v>
      </c>
      <c r="D11" s="30">
        <f>(D9-D10)*1.18+C11</f>
        <v>62.33013</v>
      </c>
      <c r="E11" s="30">
        <f>(E9-E10)*1.18+D11</f>
        <v>68.57241</v>
      </c>
      <c r="F11" s="30">
        <f>(F9-F10)*1.18</f>
        <v>68.57241000000035</v>
      </c>
    </row>
    <row r="12" spans="1:6" ht="12.75">
      <c r="A12" s="6"/>
      <c r="B12" s="12"/>
      <c r="C12" s="19"/>
      <c r="D12" s="23"/>
      <c r="E12" s="23"/>
      <c r="F12" s="23"/>
    </row>
    <row r="13" spans="1:14" ht="31.5" customHeight="1">
      <c r="A13" s="6">
        <v>4</v>
      </c>
      <c r="B13" s="20" t="s">
        <v>2</v>
      </c>
      <c r="C13" s="30">
        <f>SUM(C14:C20)</f>
        <v>230.96814394129228</v>
      </c>
      <c r="D13" s="30">
        <f>SUM(D14:D20)</f>
        <v>462.36015528747157</v>
      </c>
      <c r="E13" s="30">
        <f>SUM(E14:E20)</f>
        <v>730.4143673340627</v>
      </c>
      <c r="F13" s="30">
        <f>E13+D13+C13</f>
        <v>1423.7426665628266</v>
      </c>
      <c r="G13" s="68"/>
      <c r="H13" s="68"/>
      <c r="I13" s="68"/>
      <c r="J13" s="68"/>
      <c r="K13" s="68"/>
      <c r="L13" s="68"/>
      <c r="M13" s="68"/>
      <c r="N13" s="68"/>
    </row>
    <row r="14" spans="1:6" ht="12.75">
      <c r="A14" s="29" t="s">
        <v>14</v>
      </c>
      <c r="B14" s="12" t="s">
        <v>4</v>
      </c>
      <c r="C14" s="30">
        <f>'[4]кв1.д3 '!$AT$45</f>
        <v>21.067257122200004</v>
      </c>
      <c r="D14" s="40">
        <f>'[7]кв1.д3 '!$AT$48</f>
        <v>21.580477000000002</v>
      </c>
      <c r="E14" s="105">
        <f>'[5]кв1.д3 '!$AT$45</f>
        <v>49.29224000000001</v>
      </c>
      <c r="F14" s="30">
        <f aca="true" t="shared" si="0" ref="F14:F19">E14+D14+C14</f>
        <v>91.93997412220001</v>
      </c>
    </row>
    <row r="15" spans="1:6" ht="12.75">
      <c r="A15" s="29" t="s">
        <v>15</v>
      </c>
      <c r="B15" s="12" t="s">
        <v>19</v>
      </c>
      <c r="C15" s="28">
        <f>'[4]кв1.д3 '!$AT$54+'[4]кв1.д3 '!$AT$58</f>
        <v>121.88437424840845</v>
      </c>
      <c r="D15" s="30">
        <f>'[7]кв1.д3 '!$AT$54+'[7]кв1.д3 '!$AT$58</f>
        <v>260.6920506862875</v>
      </c>
      <c r="E15" s="30">
        <f>'[5]кв1.д3 '!$AT$54+'[5]кв1.д3 '!$AT$58</f>
        <v>416.3845436938731</v>
      </c>
      <c r="F15" s="30">
        <f t="shared" si="0"/>
        <v>798.960968628569</v>
      </c>
    </row>
    <row r="16" spans="1:6" ht="12.75">
      <c r="A16" s="29" t="s">
        <v>16</v>
      </c>
      <c r="B16" s="12" t="s">
        <v>5</v>
      </c>
      <c r="C16" s="30">
        <f>'[4]кв1.д3 '!$AT$81</f>
        <v>35.167879848249804</v>
      </c>
      <c r="D16" s="30">
        <f>'[7]кв1.д3 '!$AT$81</f>
        <v>75.02488191166461</v>
      </c>
      <c r="E16" s="30">
        <f>'[5]кв1.д3 '!$AT$81</f>
        <v>115.41333100000001</v>
      </c>
      <c r="F16" s="30">
        <f t="shared" si="0"/>
        <v>225.60609275991442</v>
      </c>
    </row>
    <row r="17" spans="1:6" ht="12.75">
      <c r="A17" s="29" t="s">
        <v>17</v>
      </c>
      <c r="B17" s="12" t="s">
        <v>6</v>
      </c>
      <c r="C17" s="30">
        <f>'[4]кв1.д3 '!$AT$83</f>
        <v>1.0616000000000057</v>
      </c>
      <c r="D17" s="30">
        <f>'[7]кв1.д3 '!$AT$83</f>
        <v>9.211349616327102</v>
      </c>
      <c r="E17" s="30">
        <f>'[5]кв1.д3 '!$AT$83</f>
        <v>24.736469109309045</v>
      </c>
      <c r="F17" s="30">
        <f t="shared" si="0"/>
        <v>35.00941872563615</v>
      </c>
    </row>
    <row r="18" spans="1:6" ht="12.75">
      <c r="A18" s="29" t="s">
        <v>18</v>
      </c>
      <c r="B18" s="12" t="s">
        <v>7</v>
      </c>
      <c r="C18" s="30">
        <f>'[4]кв1.д3 '!$AT$123</f>
        <v>17.793752661605378</v>
      </c>
      <c r="D18" s="30">
        <f>'[7]кв1.д3 '!$AT$123</f>
        <v>27.17825232742966</v>
      </c>
      <c r="E18" s="30">
        <f>'[5]кв1.д3 '!$AT$123</f>
        <v>53.51869240419653</v>
      </c>
      <c r="F18" s="30">
        <f t="shared" si="0"/>
        <v>98.49069739323157</v>
      </c>
    </row>
    <row r="19" spans="1:6" ht="12.75">
      <c r="A19" s="29" t="s">
        <v>20</v>
      </c>
      <c r="B19" s="50" t="s">
        <v>24</v>
      </c>
      <c r="C19" s="30">
        <f>'[4]кв1.д3 '!$AT$78+'[4]кв1.д3 '!$AT$75+'[4]кв1.д3 '!$AT$68+'[4]кв1.д3 '!$AT$63</f>
        <v>0.2529410777777778</v>
      </c>
      <c r="D19" s="30">
        <f>'[7]кв1.д3 '!$AT$79+'[7]кв1.д3 '!$AT$78+'[7]кв1.д3 '!$AT$75+'[7]кв1.д3 '!$AT$68+'[7]кв1.д3 '!$AT$63</f>
        <v>1.143834</v>
      </c>
      <c r="E19" s="30">
        <f>'[5]кв1.д3 '!$AT$66-'[5]кв1.д3 '!$AT$81</f>
        <v>0.6772004487179544</v>
      </c>
      <c r="F19" s="30">
        <f t="shared" si="0"/>
        <v>2.0739755264957322</v>
      </c>
    </row>
    <row r="20" spans="1:7" ht="13.5" thickBot="1">
      <c r="A20" s="29" t="s">
        <v>86</v>
      </c>
      <c r="B20" s="24" t="s">
        <v>87</v>
      </c>
      <c r="C20" s="30">
        <f>C9*15%</f>
        <v>33.740338983050854</v>
      </c>
      <c r="D20" s="30">
        <f>D9*15%</f>
        <v>67.5293097457627</v>
      </c>
      <c r="E20" s="30">
        <f>E9*15%</f>
        <v>70.3918906779661</v>
      </c>
      <c r="F20" s="30">
        <f>F9*15%</f>
        <v>171.66153940677967</v>
      </c>
      <c r="G20" s="5"/>
    </row>
    <row r="21" spans="1:6" ht="13.5" thickBot="1">
      <c r="A21" s="25"/>
      <c r="B21" s="26"/>
      <c r="C21" s="27"/>
      <c r="D21" s="27"/>
      <c r="E21" s="27"/>
      <c r="F21" s="27"/>
    </row>
    <row r="22" spans="1:5" ht="12.75">
      <c r="A22" s="9"/>
      <c r="B22" s="9"/>
      <c r="C22" s="9"/>
      <c r="D22" s="9"/>
      <c r="E22" s="14"/>
    </row>
    <row r="23" spans="1:10" ht="17.25" thickBot="1">
      <c r="A23" s="55" t="s">
        <v>63</v>
      </c>
      <c r="B23" s="55"/>
      <c r="C23" s="55"/>
      <c r="D23" s="55"/>
      <c r="E23" s="55"/>
      <c r="G23" s="55"/>
      <c r="H23" s="55"/>
      <c r="I23" s="55"/>
      <c r="J23" s="55"/>
    </row>
    <row r="24" spans="2:6" ht="17.25" thickBot="1">
      <c r="B24" s="59" t="s">
        <v>65</v>
      </c>
      <c r="C24" s="119" t="s">
        <v>66</v>
      </c>
      <c r="D24" s="120"/>
      <c r="E24" s="121"/>
      <c r="F24" s="59" t="s">
        <v>67</v>
      </c>
    </row>
    <row r="25" spans="2:6" ht="38.25" customHeight="1">
      <c r="B25" s="51" t="s">
        <v>60</v>
      </c>
      <c r="C25" s="56" t="s">
        <v>61</v>
      </c>
      <c r="D25" s="57"/>
      <c r="E25" s="58"/>
      <c r="F25" s="63">
        <v>0.44809</v>
      </c>
    </row>
    <row r="26" spans="2:6" ht="15.75" customHeight="1">
      <c r="B26" s="51" t="s">
        <v>60</v>
      </c>
      <c r="C26" s="56" t="s">
        <v>164</v>
      </c>
      <c r="D26" s="57"/>
      <c r="E26" s="58"/>
      <c r="F26" s="63">
        <v>0.48</v>
      </c>
    </row>
    <row r="27" spans="2:6" ht="12.75">
      <c r="B27" s="52" t="s">
        <v>89</v>
      </c>
      <c r="C27" s="56" t="s">
        <v>62</v>
      </c>
      <c r="D27" s="57"/>
      <c r="E27" s="58"/>
      <c r="F27" s="63">
        <v>20</v>
      </c>
    </row>
    <row r="28" spans="2:6" ht="12.75">
      <c r="B28" s="52" t="s">
        <v>115</v>
      </c>
      <c r="C28" s="56" t="s">
        <v>144</v>
      </c>
      <c r="D28" s="57"/>
      <c r="E28" s="58"/>
      <c r="F28" s="63">
        <v>11.5</v>
      </c>
    </row>
    <row r="29" spans="2:6" ht="12.75">
      <c r="B29" s="52" t="s">
        <v>115</v>
      </c>
      <c r="C29" s="56" t="s">
        <v>117</v>
      </c>
      <c r="D29" s="57"/>
      <c r="E29" s="58"/>
      <c r="F29" s="63">
        <v>0.84298</v>
      </c>
    </row>
    <row r="30" spans="2:6" ht="12.75">
      <c r="B30" s="52" t="s">
        <v>116</v>
      </c>
      <c r="C30" s="56" t="s">
        <v>144</v>
      </c>
      <c r="D30" s="57"/>
      <c r="E30" s="58"/>
      <c r="F30" s="63">
        <v>10</v>
      </c>
    </row>
    <row r="31" spans="2:6" ht="12.75">
      <c r="B31" s="52" t="s">
        <v>116</v>
      </c>
      <c r="C31" s="56" t="s">
        <v>123</v>
      </c>
      <c r="D31" s="57"/>
      <c r="E31" s="58"/>
      <c r="F31" s="63">
        <v>1.33641</v>
      </c>
    </row>
    <row r="32" spans="2:6" ht="12.75">
      <c r="B32" s="52" t="s">
        <v>116</v>
      </c>
      <c r="C32" s="56" t="s">
        <v>124</v>
      </c>
      <c r="D32" s="57"/>
      <c r="E32" s="58"/>
      <c r="F32" s="63">
        <f>2.77819+0.19793-0.0175</f>
        <v>2.95862</v>
      </c>
    </row>
    <row r="33" spans="1:6" ht="12.75">
      <c r="A33" s="9"/>
      <c r="B33" s="52" t="s">
        <v>132</v>
      </c>
      <c r="C33" s="60" t="s">
        <v>133</v>
      </c>
      <c r="D33" s="61"/>
      <c r="E33" s="61"/>
      <c r="F33" s="52">
        <v>0.19</v>
      </c>
    </row>
    <row r="34" spans="2:6" ht="12.75">
      <c r="B34" s="52" t="s">
        <v>157</v>
      </c>
      <c r="C34" s="56" t="s">
        <v>158</v>
      </c>
      <c r="D34" s="57"/>
      <c r="E34" s="58"/>
      <c r="F34" s="63">
        <f>1.53614</f>
        <v>1.53614</v>
      </c>
    </row>
    <row r="35" spans="2:6" ht="12.75">
      <c r="B35" s="52"/>
      <c r="C35" s="56"/>
      <c r="D35" s="57"/>
      <c r="E35" s="58"/>
      <c r="F35" s="63"/>
    </row>
    <row r="36" spans="2:7" ht="12.75">
      <c r="B36" s="52"/>
      <c r="C36" s="56" t="s">
        <v>64</v>
      </c>
      <c r="D36" s="57"/>
      <c r="E36" s="58"/>
      <c r="F36" s="104">
        <f>SUM(F25:F34)</f>
        <v>49.29223999999999</v>
      </c>
      <c r="G36" s="106"/>
    </row>
    <row r="37" spans="1:5" ht="12.75">
      <c r="A37" s="9"/>
      <c r="B37" s="9"/>
      <c r="C37" s="9"/>
      <c r="D37" s="9"/>
      <c r="E37" s="9"/>
    </row>
    <row r="38" spans="1:5" ht="68.25" customHeight="1">
      <c r="A38" s="9"/>
      <c r="B38" s="48" t="s">
        <v>50</v>
      </c>
      <c r="E38" s="15" t="s">
        <v>148</v>
      </c>
    </row>
    <row r="39" spans="1:5" ht="48" customHeight="1">
      <c r="A39" s="9"/>
      <c r="B39" s="15" t="s">
        <v>51</v>
      </c>
      <c r="E39" s="15" t="s">
        <v>197</v>
      </c>
    </row>
    <row r="40" spans="1:7" ht="12.75">
      <c r="A40" s="9"/>
      <c r="B40" s="15"/>
      <c r="C40" s="15"/>
      <c r="D40" s="9"/>
      <c r="E40" s="10"/>
      <c r="G40" s="5"/>
    </row>
    <row r="41" spans="1:7" ht="12.75">
      <c r="A41" s="9"/>
      <c r="B41" s="9"/>
      <c r="C41" s="9"/>
      <c r="D41" s="9"/>
      <c r="E41" s="10"/>
      <c r="F41" s="1"/>
      <c r="G41" s="1"/>
    </row>
    <row r="42" spans="1:7" s="2" customFormat="1" ht="12.75">
      <c r="A42" s="15"/>
      <c r="B42" s="15"/>
      <c r="C42" s="15"/>
      <c r="D42" s="15"/>
      <c r="E42" s="16"/>
      <c r="F42" s="1"/>
      <c r="G42" s="7"/>
    </row>
    <row r="43" spans="5:7" s="9" customFormat="1" ht="12.75">
      <c r="E43" s="10"/>
      <c r="F43" s="8"/>
      <c r="G43" s="7"/>
    </row>
    <row r="44" spans="2:7" s="9" customFormat="1" ht="12.75">
      <c r="B44" s="11" t="s">
        <v>11</v>
      </c>
      <c r="E44" s="10"/>
      <c r="F44" s="8"/>
      <c r="G44" s="7"/>
    </row>
    <row r="45" spans="1:5" ht="12.75">
      <c r="A45" s="9"/>
      <c r="B45" s="9" t="s">
        <v>21</v>
      </c>
      <c r="C45" s="9"/>
      <c r="D45" s="9"/>
      <c r="E45" s="10"/>
    </row>
    <row r="46" s="9" customFormat="1" ht="12.75">
      <c r="B46" s="9" t="s">
        <v>90</v>
      </c>
    </row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</sheetData>
  <sheetProtection/>
  <mergeCells count="4">
    <mergeCell ref="A2:D2"/>
    <mergeCell ref="B4:D4"/>
    <mergeCell ref="A5:D5"/>
    <mergeCell ref="C24:E24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Q45"/>
  <sheetViews>
    <sheetView view="pageBreakPreview" zoomScaleSheetLayoutView="100" zoomScalePageLayoutView="0" workbookViewId="0" topLeftCell="A4">
      <selection activeCell="G33" sqref="G33:G34"/>
    </sheetView>
  </sheetViews>
  <sheetFormatPr defaultColWidth="9.00390625" defaultRowHeight="12.75"/>
  <cols>
    <col min="1" max="1" width="4.375" style="0" customWidth="1"/>
    <col min="2" max="2" width="35.375" style="0" customWidth="1"/>
    <col min="3" max="3" width="11.25390625" style="0" customWidth="1"/>
    <col min="4" max="4" width="11.375" style="0" customWidth="1"/>
    <col min="5" max="5" width="9.625" style="0" customWidth="1"/>
    <col min="6" max="7" width="11.125" style="0" customWidth="1"/>
    <col min="9" max="9" width="9.625" style="0" bestFit="1" customWidth="1"/>
  </cols>
  <sheetData>
    <row r="2" spans="5:8" ht="12.75">
      <c r="E2" s="122"/>
      <c r="F2" s="122"/>
      <c r="G2" s="122"/>
      <c r="H2" s="122"/>
    </row>
    <row r="3" spans="1:6" ht="26.25">
      <c r="A3" s="117" t="s">
        <v>3</v>
      </c>
      <c r="B3" s="117"/>
      <c r="C3" s="117"/>
      <c r="D3" s="117"/>
      <c r="E3" s="117"/>
      <c r="F3" s="117"/>
    </row>
    <row r="5" spans="1:7" s="2" customFormat="1" ht="15.75">
      <c r="A5" s="32"/>
      <c r="B5" s="118" t="s">
        <v>23</v>
      </c>
      <c r="C5" s="118"/>
      <c r="D5" s="118"/>
      <c r="E5" s="118"/>
      <c r="F5" s="118"/>
      <c r="G5" s="21"/>
    </row>
    <row r="6" spans="1:7" s="2" customFormat="1" ht="15.75">
      <c r="A6" s="118" t="s">
        <v>166</v>
      </c>
      <c r="B6" s="118"/>
      <c r="C6" s="118"/>
      <c r="D6" s="118"/>
      <c r="E6" s="118"/>
      <c r="F6" s="118"/>
      <c r="G6" s="21"/>
    </row>
    <row r="7" spans="2:3" s="2" customFormat="1" ht="12.75">
      <c r="B7" s="22"/>
      <c r="C7" s="22"/>
    </row>
    <row r="8" spans="2:7" s="2" customFormat="1" ht="12.75">
      <c r="B8" s="21"/>
      <c r="C8" s="21"/>
      <c r="D8" s="21"/>
      <c r="E8" s="21"/>
      <c r="F8" s="21"/>
      <c r="G8" s="21"/>
    </row>
    <row r="9" spans="2:3" s="2" customFormat="1" ht="12.75">
      <c r="B9" s="1"/>
      <c r="C9" s="1"/>
    </row>
    <row r="10" ht="13.5" thickBot="1">
      <c r="G10" t="s">
        <v>165</v>
      </c>
    </row>
    <row r="11" spans="1:8" s="4" customFormat="1" ht="48.75" customHeight="1">
      <c r="A11" s="3" t="s">
        <v>0</v>
      </c>
      <c r="B11" s="17" t="s">
        <v>1</v>
      </c>
      <c r="C11" s="18" t="s">
        <v>27</v>
      </c>
      <c r="D11" s="18" t="s">
        <v>25</v>
      </c>
      <c r="E11" s="18" t="s">
        <v>26</v>
      </c>
      <c r="F11" s="18" t="s">
        <v>39</v>
      </c>
      <c r="G11" s="18" t="s">
        <v>52</v>
      </c>
      <c r="H11" s="18" t="s">
        <v>88</v>
      </c>
    </row>
    <row r="12" spans="1:8" ht="12.75">
      <c r="A12" s="6">
        <v>1</v>
      </c>
      <c r="B12" s="13" t="s">
        <v>12</v>
      </c>
      <c r="C12" s="38">
        <f>111.84014/1.18</f>
        <v>94.77977966101696</v>
      </c>
      <c r="D12" s="38">
        <f>167.58893/1.18</f>
        <v>142.02451694915254</v>
      </c>
      <c r="E12" s="44">
        <f>167.52548/1.18</f>
        <v>141.97074576271186</v>
      </c>
      <c r="F12" s="34">
        <f>167.88184/1.18</f>
        <v>142.27274576271188</v>
      </c>
      <c r="G12" s="34">
        <f>'[8]07.12'!$W$6/1000/1.18</f>
        <v>71.17347457627119</v>
      </c>
      <c r="H12" s="34">
        <f>E12+F12+G12+D12+C12</f>
        <v>592.2212627118645</v>
      </c>
    </row>
    <row r="13" spans="1:8" ht="25.5">
      <c r="A13" s="6">
        <v>2</v>
      </c>
      <c r="B13" s="20" t="s">
        <v>13</v>
      </c>
      <c r="C13" s="38">
        <f>92.87825/1.18</f>
        <v>78.7103813559322</v>
      </c>
      <c r="D13" s="38">
        <f>167.85322/1.18</f>
        <v>142.24849152542373</v>
      </c>
      <c r="E13" s="44">
        <f>170.837/1.18</f>
        <v>144.7771186440678</v>
      </c>
      <c r="F13" s="30">
        <f>166.22584/1.18</f>
        <v>140.8693559322034</v>
      </c>
      <c r="G13" s="30">
        <f>'[8]07.12'!$X$6/1.18/1000</f>
        <v>85.61586440677968</v>
      </c>
      <c r="H13" s="34">
        <f>E13+F13+G13+D13+C13</f>
        <v>592.2212118644068</v>
      </c>
    </row>
    <row r="14" spans="1:8" ht="25.5">
      <c r="A14" s="6">
        <v>3</v>
      </c>
      <c r="B14" s="20" t="s">
        <v>149</v>
      </c>
      <c r="C14" s="33">
        <f>(C12-C13)*1.18</f>
        <v>18.961890000000018</v>
      </c>
      <c r="D14" s="33">
        <f>(D12-D13)*1.18+C14</f>
        <v>18.697600000000016</v>
      </c>
      <c r="E14" s="33">
        <f>(E12-E13)*1.18+D14</f>
        <v>15.386080000000005</v>
      </c>
      <c r="F14" s="30">
        <f>(F12-F13)*1.18+E14</f>
        <v>17.042080000000002</v>
      </c>
      <c r="G14" s="30">
        <f>(G12-G13)*1.18+F14+G15</f>
        <v>5.9999999987070396E-05</v>
      </c>
      <c r="H14" s="30">
        <f>(H12-H13)*1.18</f>
        <v>6.000000010317307E-05</v>
      </c>
    </row>
    <row r="15" spans="1:8" ht="12.75">
      <c r="A15" s="6"/>
      <c r="B15" s="12"/>
      <c r="C15" s="19"/>
      <c r="D15" s="19"/>
      <c r="E15" s="19"/>
      <c r="F15" s="23"/>
      <c r="G15" s="42"/>
      <c r="H15" s="23"/>
    </row>
    <row r="16" spans="1:17" ht="31.5" customHeight="1">
      <c r="A16" s="6">
        <v>4</v>
      </c>
      <c r="B16" s="20" t="s">
        <v>2</v>
      </c>
      <c r="C16" s="30">
        <f>SUM(C17:C23)</f>
        <v>297.01757701384855</v>
      </c>
      <c r="D16" s="30">
        <f>SUM(D17:D23)</f>
        <v>193.29943095557292</v>
      </c>
      <c r="E16" s="30">
        <f>SUM(E17:E23)</f>
        <v>312.08955651945627</v>
      </c>
      <c r="F16" s="30">
        <f>SUM(F17:F23)</f>
        <v>236.06101447556557</v>
      </c>
      <c r="G16" s="30">
        <f>SUM(G17:G23)</f>
        <v>128.17001446111715</v>
      </c>
      <c r="H16" s="34">
        <f>E16+F16+G16+D16+C16</f>
        <v>1166.6375934255605</v>
      </c>
      <c r="I16" s="68"/>
      <c r="J16" s="68"/>
      <c r="K16" s="68"/>
      <c r="L16" s="68"/>
      <c r="M16" s="68"/>
      <c r="N16" s="68"/>
      <c r="O16" s="68"/>
      <c r="P16" s="68"/>
      <c r="Q16" s="68"/>
    </row>
    <row r="17" spans="1:8" ht="12.75">
      <c r="A17" s="29" t="s">
        <v>14</v>
      </c>
      <c r="B17" s="12" t="s">
        <v>4</v>
      </c>
      <c r="C17" s="30">
        <f>'[2]кв1.д4'!$AT$44</f>
        <v>144.40281000000002</v>
      </c>
      <c r="D17" s="30">
        <f>'[3]кв1.д4'!$AT$44</f>
        <v>10.1054</v>
      </c>
      <c r="E17" s="30">
        <f>'[4]кв1.д4'!$AT$45</f>
        <v>21.7782171222</v>
      </c>
      <c r="F17" s="40">
        <f>'[1]кв1.д4'!$AT$45</f>
        <v>28.757007</v>
      </c>
      <c r="G17" s="40">
        <f>'[5]кв1.д4'!$AT$45</f>
        <v>1.27394</v>
      </c>
      <c r="H17" s="34">
        <f aca="true" t="shared" si="0" ref="H17:H22">E17+F17+G17+D17+C17</f>
        <v>206.31737412220002</v>
      </c>
    </row>
    <row r="18" spans="1:8" ht="12.75">
      <c r="A18" s="29" t="s">
        <v>15</v>
      </c>
      <c r="B18" s="12" t="s">
        <v>19</v>
      </c>
      <c r="C18" s="30">
        <f>'[2]кв1.д4'!$AT$51+'[2]кв1.д4'!$AT$55</f>
        <v>89.46412047851999</v>
      </c>
      <c r="D18" s="30">
        <f>'[3]кв1.д4'!$AT$51+'[3]кв1.д4'!$AT$55</f>
        <v>104.6503059262</v>
      </c>
      <c r="E18" s="28">
        <f>'[4]кв1.д4'!$AT$54+'[4]кв1.д4'!$AT$58</f>
        <v>205.97049666471537</v>
      </c>
      <c r="F18" s="30">
        <f>'[1]кв1.д4'!$AT$54+'[1]кв1.д4'!$AT$58</f>
        <v>137.26974734724934</v>
      </c>
      <c r="G18" s="30">
        <f>'[5]кв1.д4'!$AT$54+'[5]кв1.д4'!$AT$58</f>
        <v>68.0983450243515</v>
      </c>
      <c r="H18" s="34">
        <f t="shared" si="0"/>
        <v>605.4530154410361</v>
      </c>
    </row>
    <row r="19" spans="1:8" ht="12.75">
      <c r="A19" s="29" t="s">
        <v>16</v>
      </c>
      <c r="B19" s="12" t="s">
        <v>5</v>
      </c>
      <c r="C19" s="30">
        <f>'[2]кв1.д4'!$AT$83</f>
        <v>28.37785</v>
      </c>
      <c r="D19" s="30">
        <f>'[3]кв1.д4'!$AT$83</f>
        <v>22.67715</v>
      </c>
      <c r="E19" s="30">
        <f>'[4]кв1.д4'!$AT$81</f>
        <v>25.171113732719405</v>
      </c>
      <c r="F19" s="30">
        <f>'[1]кв1.д4'!$AT$81</f>
        <v>27.77038353650255</v>
      </c>
      <c r="G19" s="30">
        <f>'[5]кв1.д4'!$AT$81</f>
        <v>31.829355</v>
      </c>
      <c r="H19" s="34">
        <f t="shared" si="0"/>
        <v>135.82585226922197</v>
      </c>
    </row>
    <row r="20" spans="1:8" ht="12.75">
      <c r="A20" s="29" t="s">
        <v>17</v>
      </c>
      <c r="B20" s="12" t="s">
        <v>6</v>
      </c>
      <c r="C20" s="30">
        <f>'[2]кв1.д4'!$AT$84</f>
        <v>2.92</v>
      </c>
      <c r="D20" s="30">
        <f>'[3]кв1.д4'!$AT$84</f>
        <v>18.04200161</v>
      </c>
      <c r="E20" s="30">
        <f>'[4]кв1.д4'!$AT$83</f>
        <v>9.3545902</v>
      </c>
      <c r="F20" s="30">
        <f>'[1]кв1.д4'!$AT$83</f>
        <v>4.511785525768422</v>
      </c>
      <c r="G20" s="30">
        <f>'[5]кв1.д4'!$AT$83</f>
        <v>5.68170649580543</v>
      </c>
      <c r="H20" s="34">
        <f t="shared" si="0"/>
        <v>40.51008383157385</v>
      </c>
    </row>
    <row r="21" spans="1:8" ht="12.75">
      <c r="A21" s="29" t="s">
        <v>18</v>
      </c>
      <c r="B21" s="12" t="s">
        <v>7</v>
      </c>
      <c r="C21" s="30">
        <f>'[2]кв1.д4'!$AT$124</f>
        <v>17.635829586176</v>
      </c>
      <c r="D21" s="30">
        <f>'[3]кв1.д4'!$AT$124</f>
        <v>16.520895877</v>
      </c>
      <c r="E21" s="30">
        <f>'[4]кв1.д4'!$AT$123</f>
        <v>27.93948085763691</v>
      </c>
      <c r="F21" s="30">
        <f>'[1]кв1.д4'!$AT$123</f>
        <v>16.200388201638464</v>
      </c>
      <c r="G21" s="30">
        <f>'[5]кв1.д4'!$AT$123</f>
        <v>9.969519639134948</v>
      </c>
      <c r="H21" s="34">
        <f t="shared" si="0"/>
        <v>88.26611416158632</v>
      </c>
    </row>
    <row r="22" spans="1:8" ht="12.75">
      <c r="A22" s="29" t="s">
        <v>20</v>
      </c>
      <c r="B22" s="41" t="s">
        <v>24</v>
      </c>
      <c r="C22" s="30"/>
      <c r="D22" s="30"/>
      <c r="E22" s="30">
        <f>'[4]кв1.д4'!$AT$78+'[4]кв1.д4'!$AT$75+'[4]кв1.д4'!$AT$68+'[4]кв1.д4'!$AT$63</f>
        <v>0.5800460777777778</v>
      </c>
      <c r="F22" s="30">
        <f>'[1]кв1.д4'!$AT$79+'[1]кв1.д4'!$AT$78+'[1]кв1.д4'!$AT$68</f>
        <v>0.210791</v>
      </c>
      <c r="G22" s="30">
        <f>'[5]кв1.д4'!$AT$66-'[5]кв1.д4'!$AT$81</f>
        <v>0.641127115384613</v>
      </c>
      <c r="H22" s="34">
        <f t="shared" si="0"/>
        <v>1.4319641931623908</v>
      </c>
    </row>
    <row r="23" spans="1:8" ht="13.5" thickBot="1">
      <c r="A23" s="29" t="s">
        <v>86</v>
      </c>
      <c r="B23" s="24" t="s">
        <v>87</v>
      </c>
      <c r="C23" s="30">
        <f aca="true" t="shared" si="1" ref="C23:H23">C12*15%</f>
        <v>14.216966949152544</v>
      </c>
      <c r="D23" s="30">
        <f t="shared" si="1"/>
        <v>21.30367754237288</v>
      </c>
      <c r="E23" s="30">
        <f t="shared" si="1"/>
        <v>21.295611864406776</v>
      </c>
      <c r="F23" s="30">
        <f t="shared" si="1"/>
        <v>21.34091186440678</v>
      </c>
      <c r="G23" s="30">
        <f t="shared" si="1"/>
        <v>10.676021186440678</v>
      </c>
      <c r="H23" s="30">
        <f t="shared" si="1"/>
        <v>88.83318940677967</v>
      </c>
    </row>
    <row r="24" spans="1:8" ht="13.5" thickBot="1">
      <c r="A24" s="25"/>
      <c r="B24" s="26"/>
      <c r="C24" s="43"/>
      <c r="D24" s="27"/>
      <c r="E24" s="27"/>
      <c r="F24" s="27"/>
      <c r="G24" s="27"/>
      <c r="H24" s="27"/>
    </row>
    <row r="25" spans="1:7" ht="12.75">
      <c r="A25" s="9"/>
      <c r="B25" s="9"/>
      <c r="C25" s="9"/>
      <c r="D25" s="9"/>
      <c r="E25" s="9"/>
      <c r="F25" s="9"/>
      <c r="G25" s="9"/>
    </row>
    <row r="26" spans="2:10" ht="16.5">
      <c r="B26" s="55" t="s">
        <v>63</v>
      </c>
      <c r="C26" s="55"/>
      <c r="D26" s="55"/>
      <c r="E26" s="55"/>
      <c r="F26" s="55"/>
      <c r="G26" s="55"/>
      <c r="H26" s="55"/>
      <c r="I26" s="55"/>
      <c r="J26" s="55"/>
    </row>
    <row r="27" spans="1:7" ht="16.5">
      <c r="A27" s="9"/>
      <c r="B27" s="62" t="s">
        <v>65</v>
      </c>
      <c r="C27" s="125" t="s">
        <v>66</v>
      </c>
      <c r="D27" s="125"/>
      <c r="E27" s="125"/>
      <c r="F27" s="125"/>
      <c r="G27" s="62" t="s">
        <v>67</v>
      </c>
    </row>
    <row r="28" spans="1:7" ht="12.75">
      <c r="A28" s="9"/>
      <c r="B28" s="51" t="s">
        <v>68</v>
      </c>
      <c r="C28" s="123" t="s">
        <v>69</v>
      </c>
      <c r="D28" s="123"/>
      <c r="E28" s="123"/>
      <c r="F28" s="123"/>
      <c r="G28" s="63">
        <v>0.68249</v>
      </c>
    </row>
    <row r="29" spans="2:7" ht="12.75">
      <c r="B29" s="52" t="s">
        <v>116</v>
      </c>
      <c r="C29" s="126" t="s">
        <v>125</v>
      </c>
      <c r="D29" s="127"/>
      <c r="E29" s="127"/>
      <c r="F29" s="128"/>
      <c r="G29" s="63">
        <v>0.40145</v>
      </c>
    </row>
    <row r="30" spans="1:7" ht="12.75">
      <c r="A30" s="9"/>
      <c r="B30" s="52" t="s">
        <v>132</v>
      </c>
      <c r="C30" s="123" t="s">
        <v>133</v>
      </c>
      <c r="D30" s="123"/>
      <c r="E30" s="123"/>
      <c r="F30" s="123"/>
      <c r="G30" s="52">
        <v>0.19</v>
      </c>
    </row>
    <row r="31" spans="1:7" ht="12.75">
      <c r="A31" s="9"/>
      <c r="B31" s="52"/>
      <c r="C31" s="124" t="s">
        <v>64</v>
      </c>
      <c r="D31" s="124"/>
      <c r="E31" s="124"/>
      <c r="F31" s="124"/>
      <c r="G31" s="54">
        <f>SUM(G28:G30)</f>
        <v>1.27394</v>
      </c>
    </row>
    <row r="32" spans="1:7" ht="12.75">
      <c r="A32" s="9"/>
      <c r="B32" s="9"/>
      <c r="C32" s="9"/>
      <c r="D32" s="9"/>
      <c r="E32" s="9"/>
      <c r="F32" s="9"/>
      <c r="G32" s="9"/>
    </row>
    <row r="33" spans="1:7" ht="68.25" customHeight="1">
      <c r="A33" s="9"/>
      <c r="B33" s="31" t="s">
        <v>22</v>
      </c>
      <c r="C33" s="31"/>
      <c r="D33" s="31"/>
      <c r="F33" s="9"/>
      <c r="G33" s="15" t="s">
        <v>148</v>
      </c>
    </row>
    <row r="34" spans="1:7" ht="48" customHeight="1">
      <c r="A34" s="9"/>
      <c r="B34" s="15" t="s">
        <v>9</v>
      </c>
      <c r="C34" s="15"/>
      <c r="D34" s="15"/>
      <c r="F34" s="9"/>
      <c r="G34" s="15" t="s">
        <v>197</v>
      </c>
    </row>
    <row r="35" spans="1:9" ht="12.75">
      <c r="A35" s="9"/>
      <c r="B35" s="15"/>
      <c r="C35" s="15"/>
      <c r="D35" s="15"/>
      <c r="E35" s="15"/>
      <c r="F35" s="9"/>
      <c r="G35" s="9"/>
      <c r="I35" s="5"/>
    </row>
    <row r="36" spans="1:9" ht="12.75">
      <c r="A36" s="9"/>
      <c r="B36" s="9"/>
      <c r="C36" s="9"/>
      <c r="D36" s="9"/>
      <c r="E36" s="9"/>
      <c r="F36" s="9"/>
      <c r="G36" s="9"/>
      <c r="H36" s="1"/>
      <c r="I36" s="1"/>
    </row>
    <row r="37" spans="1:9" s="2" customFormat="1" ht="12.75">
      <c r="A37" s="15"/>
      <c r="B37" s="15"/>
      <c r="C37" s="15"/>
      <c r="D37" s="15"/>
      <c r="E37" s="15"/>
      <c r="F37" s="15"/>
      <c r="G37" s="15"/>
      <c r="H37" s="1"/>
      <c r="I37" s="7"/>
    </row>
    <row r="38" spans="8:9" s="9" customFormat="1" ht="12.75">
      <c r="H38" s="8"/>
      <c r="I38" s="7"/>
    </row>
    <row r="39" spans="8:9" s="9" customFormat="1" ht="12.75">
      <c r="H39" s="8"/>
      <c r="I39" s="7"/>
    </row>
    <row r="40" spans="1:7" ht="12.75">
      <c r="A40" s="9"/>
      <c r="B40" s="9"/>
      <c r="C40" s="9"/>
      <c r="D40" s="9"/>
      <c r="E40" s="9"/>
      <c r="F40" s="9"/>
      <c r="G40" s="9"/>
    </row>
    <row r="41" s="9" customFormat="1" ht="12.75"/>
    <row r="42" s="9" customFormat="1" ht="12.75"/>
    <row r="43" spans="2:4" s="9" customFormat="1" ht="12.75">
      <c r="B43" s="11" t="s">
        <v>11</v>
      </c>
      <c r="C43" s="11"/>
      <c r="D43" s="11"/>
    </row>
    <row r="44" s="9" customFormat="1" ht="12.75">
      <c r="B44" s="9" t="s">
        <v>21</v>
      </c>
    </row>
    <row r="45" s="9" customFormat="1" ht="12.75">
      <c r="B45" s="9" t="s">
        <v>90</v>
      </c>
    </row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</sheetData>
  <sheetProtection/>
  <mergeCells count="9">
    <mergeCell ref="E2:H2"/>
    <mergeCell ref="C30:F30"/>
    <mergeCell ref="C31:F31"/>
    <mergeCell ref="A3:F3"/>
    <mergeCell ref="B5:F5"/>
    <mergeCell ref="A6:F6"/>
    <mergeCell ref="C27:F27"/>
    <mergeCell ref="C28:F28"/>
    <mergeCell ref="C29:F29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Елена Викторовна Долматова</cp:lastModifiedBy>
  <cp:lastPrinted>2013-02-08T02:37:13Z</cp:lastPrinted>
  <dcterms:created xsi:type="dcterms:W3CDTF">2009-05-11T22:25:49Z</dcterms:created>
  <dcterms:modified xsi:type="dcterms:W3CDTF">2013-03-06T00:40:17Z</dcterms:modified>
  <cp:category/>
  <cp:version/>
  <cp:contentType/>
  <cp:contentStatus/>
</cp:coreProperties>
</file>